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30" windowHeight="7000"/>
  </bookViews>
  <sheets>
    <sheet name="made with love转印标" sheetId="2" r:id="rId1"/>
    <sheet name="made the FUTURE today" sheetId="4" r:id="rId2"/>
    <sheet name="made with love转印标 (2)" sheetId="3" state="hidden" r:id="rId3"/>
  </sheets>
  <definedNames>
    <definedName name="_xlnm._FilterDatabase" localSheetId="0" hidden="1">'made with love转印标'!$A$3:$U$25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9" name="ID_2F0048596F8E4857820991A7F3EA29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250" y="2155825"/>
          <a:ext cx="213360" cy="4495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7FBFFDD8BF254268A6C2E45BB303E3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9090" y="63523495"/>
          <a:ext cx="227965" cy="49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4E5DEE8308B147359EAA96D8B5AC56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1785" y="64087375"/>
          <a:ext cx="277495" cy="472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5" name="ID_EF24ABADF01F49ECB6C993953F00C8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565" y="1073785"/>
          <a:ext cx="383540" cy="421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6" name="ID_6C22E3A576544261B45C87850AE223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3050" y="88139905"/>
          <a:ext cx="274320" cy="448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1" name="ID_26CF380CB72C42F58202B0D3926DC73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8280" y="87042625"/>
          <a:ext cx="474345" cy="40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2" name="ID_9CC6A5F24CB340ECB493BA6C2A693CC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3210" y="88682830"/>
          <a:ext cx="400685" cy="45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8C90292D3FCF45D59E2CAC30466594A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1935" y="87567135"/>
          <a:ext cx="422910" cy="42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7" name="ID_B10D77309BF04BACBAD95C5CBE1FFA9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0520" y="90399235"/>
          <a:ext cx="224155" cy="443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5606B77D12FF49B7A32C57A2D56D31E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9410" y="89239090"/>
          <a:ext cx="264160" cy="478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4" name="ID_56789881FC2D44B3B2491C4CD94DC06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1610" y="7174865"/>
          <a:ext cx="487045" cy="540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F5E9973EE78543548432F67848EAB44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41935" y="89779475"/>
          <a:ext cx="396240" cy="521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2" name="ID_FBE728568E9E4A1D8B36A05CA8EDC24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51460" y="90935175"/>
          <a:ext cx="394335" cy="435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3" name="ID_1A9D00471D9A4A4AACCE442ED37BC6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3680" y="91460320"/>
          <a:ext cx="443865" cy="410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843D15FF04504544AAA897728E94F78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7950" y="6606540"/>
          <a:ext cx="502920" cy="541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3" name="ID_3D6DE86EB5324C158EFEDEEC7ABFF35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1140" y="94833440"/>
          <a:ext cx="427355" cy="464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5" name="ID_217D6EF38EF14761B8BAEA951F3D6E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65430" y="97128330"/>
          <a:ext cx="316865" cy="397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6" name="ID_F6B591BDD3CA4F3D9FDDEDE2B06AF78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26060" y="97623630"/>
          <a:ext cx="415925" cy="491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7" name="ID_520389D402CF4E77A050998580CA14F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49555" y="98216085"/>
          <a:ext cx="360045" cy="4400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<sst xmlns="http://schemas.openxmlformats.org/spreadsheetml/2006/main" count="222" uniqueCount="106">
  <si>
    <t>款号</t>
  </si>
  <si>
    <t>颜色</t>
  </si>
  <si>
    <t>大货样 寄美盛</t>
  </si>
  <si>
    <t>tiny baby</t>
  </si>
  <si>
    <t>new baby</t>
  </si>
  <si>
    <t>up to 1</t>
  </si>
  <si>
    <t>1-3</t>
  </si>
  <si>
    <t>3-6</t>
  </si>
  <si>
    <t>6-9</t>
  </si>
  <si>
    <t>9-12</t>
  </si>
  <si>
    <t>12-18</t>
  </si>
  <si>
    <t>18-24</t>
  </si>
  <si>
    <t>2-3</t>
  </si>
  <si>
    <t>总数</t>
  </si>
  <si>
    <t>mnths</t>
  </si>
  <si>
    <t>yrs</t>
  </si>
  <si>
    <t>大货</t>
  </si>
  <si>
    <t>BB00801</t>
  </si>
  <si>
    <r>
      <t>烫标LOVE 18-0420TCX</t>
    </r>
    <r>
      <rPr>
        <sz val="12"/>
        <color rgb="FFFF0000"/>
        <rFont val="等线"/>
        <charset val="134"/>
      </rPr>
      <t>*2</t>
    </r>
  </si>
  <si>
    <t>1-3M*10个和       6-9M*5个</t>
  </si>
  <si>
    <t>轩之冉</t>
  </si>
  <si>
    <t>BB43301</t>
  </si>
  <si>
    <t>烫标LOVE 19-4025TCX</t>
  </si>
  <si>
    <t>BB43801-夹克</t>
  </si>
  <si>
    <t>烫标LOVE 11-0602TCX</t>
  </si>
  <si>
    <t>BB43801-爬衣</t>
  </si>
  <si>
    <t>烫标LOVE 13-0404TCX</t>
  </si>
  <si>
    <t>BB45501-爬衣</t>
  </si>
  <si>
    <t>烫标LOVE 11-0607TCX</t>
  </si>
  <si>
    <t>BB45501-背心</t>
  </si>
  <si>
    <t>背心14-4115TCX</t>
  </si>
  <si>
    <t>BB75401-爬衣</t>
  </si>
  <si>
    <t>烫标LOVE 11-0701TCX</t>
  </si>
  <si>
    <t>BB75401-背心</t>
  </si>
  <si>
    <t>15-1512TCX</t>
  </si>
  <si>
    <t>BC58001-衬衫</t>
  </si>
  <si>
    <t>烫标Love 11-0602TCX</t>
  </si>
  <si>
    <t>BC58001-爬衣</t>
  </si>
  <si>
    <t>烫标Love18-0420TCX</t>
  </si>
  <si>
    <t>BB41301</t>
  </si>
  <si>
    <t>三头狼</t>
  </si>
  <si>
    <t>BB41901</t>
  </si>
  <si>
    <t>BB65001</t>
  </si>
  <si>
    <t>BB70501</t>
  </si>
  <si>
    <t>烫标Love 18-1659TCX</t>
  </si>
  <si>
    <t>BC51101</t>
  </si>
  <si>
    <r>
      <t>烫标Love14-4002TCX</t>
    </r>
    <r>
      <rPr>
        <sz val="12"/>
        <color rgb="FFFF0000"/>
        <rFont val="等线"/>
        <charset val="134"/>
      </rPr>
      <t>*2</t>
    </r>
  </si>
  <si>
    <t>BC51301</t>
  </si>
  <si>
    <r>
      <t>烫标Love18-1550TCX</t>
    </r>
    <r>
      <rPr>
        <sz val="12"/>
        <color rgb="FFFF0000"/>
        <rFont val="等线"/>
        <charset val="134"/>
      </rPr>
      <t>*2</t>
    </r>
  </si>
  <si>
    <t>BC51501-蝴蝶</t>
  </si>
  <si>
    <t>BC51501-熊</t>
  </si>
  <si>
    <t>烫标Love 14-1305TCX</t>
  </si>
  <si>
    <t>BB44901</t>
  </si>
  <si>
    <t>烫标Love  11-0602TCX</t>
  </si>
  <si>
    <t>安阳景虹</t>
  </si>
  <si>
    <t>BB67801</t>
  </si>
  <si>
    <t>烫标Love  13-0000TCX</t>
  </si>
  <si>
    <t>BB73501</t>
  </si>
  <si>
    <t>烫标Love  14-1905TCX</t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</si>
  <si>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</si>
  <si>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</si>
  <si>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</si>
  <si>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</si>
  <si>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</si>
  <si>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</si>
  <si>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</si>
  <si>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</si>
  <si>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</si>
  <si>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</si>
  <si>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</si>
  <si>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</si>
  <si>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</si>
  <si>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3-4</t>
  </si>
  <si>
    <t>4-5</t>
  </si>
  <si>
    <t>5-6</t>
  </si>
  <si>
    <t>6-7</t>
  </si>
  <si>
    <t>7-8</t>
  </si>
  <si>
    <t>8-9</t>
  </si>
  <si>
    <t>9-10</t>
  </si>
  <si>
    <t>工厂</t>
  </si>
  <si>
    <t>尺寸</t>
  </si>
  <si>
    <t>BB40701</t>
  </si>
  <si>
    <t>烫标Future18-1323TCX</t>
  </si>
  <si>
    <t>31*45mm</t>
  </si>
  <si>
    <t>2-3Y*10个    5-6y*10个</t>
  </si>
  <si>
    <t>BB41101</t>
  </si>
  <si>
    <t>烫标Future19-4205TCX</t>
  </si>
  <si>
    <t>富华</t>
  </si>
  <si>
    <t>BB83201</t>
  </si>
  <si>
    <t>烫标Future17-1312TCX</t>
  </si>
  <si>
    <t>千趣</t>
  </si>
  <si>
    <t>大货样</t>
  </si>
  <si>
    <t>LK463</t>
  </si>
  <si>
    <t>LOVE 14-4115TCX</t>
  </si>
  <si>
    <t>LK459</t>
  </si>
  <si>
    <t>LOVE 14-1508TCX</t>
  </si>
  <si>
    <t>LK458</t>
  </si>
  <si>
    <t>LOVE 14-0708TCX</t>
  </si>
  <si>
    <t>AV42801</t>
  </si>
  <si>
    <t>LOVE 16-4023TCX</t>
  </si>
  <si>
    <t>AV43101</t>
  </si>
  <si>
    <t>LOVE 16-1518TCX</t>
  </si>
  <si>
    <r>
      <rPr>
        <b/>
        <sz val="16"/>
        <color theme="1"/>
        <rFont val="等线"/>
        <charset val="134"/>
        <scheme val="minor"/>
      </rPr>
      <t>1-3M*</t>
    </r>
    <r>
      <rPr>
        <b/>
        <sz val="16"/>
        <color rgb="FFFF0000"/>
        <rFont val="等线"/>
        <charset val="134"/>
        <scheme val="minor"/>
      </rPr>
      <t>20个</t>
    </r>
    <r>
      <rPr>
        <b/>
        <sz val="16"/>
        <color theme="1"/>
        <rFont val="等线"/>
        <charset val="134"/>
        <scheme val="minor"/>
      </rPr>
      <t>和       6-9M*5个</t>
    </r>
  </si>
  <si>
    <t>AV44301</t>
  </si>
  <si>
    <t>AV50101</t>
  </si>
  <si>
    <t>LOVE 14-1305TCX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</si>
</sst>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indexed="8"/>
      <name val="等线"/>
      <charset val="134"/>
    </font>
    <font>
      <sz val="12"/>
      <name val="等线"/>
      <charset val="134"/>
    </font>
    <font>
      <sz val="16"/>
      <color theme="1"/>
      <name val="等线"/>
      <charset val="134"/>
    </font>
    <font>
      <sz val="16"/>
      <name val="等线"/>
      <charset val="134"/>
    </font>
    <font>
      <sz val="16"/>
      <color theme="1"/>
      <name val="等线"/>
      <charset val="134"/>
      <scheme val="minor"/>
    </font>
    <font>
      <b/>
      <sz val="16"/>
      <name val="宋体"/>
      <charset val="134"/>
    </font>
    <font>
      <sz val="12"/>
      <name val="Calibri"/>
      <family val="2"/>
      <charset val="0"/>
    </font>
    <font>
      <sz val="12"/>
      <color theme="1"/>
      <name val="等线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等线"/>
      <charset val="134"/>
    </font>
    <font>
      <b/>
      <sz val="16"/>
      <color rgb="FFFF000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58" fontId="1" fillId="2" borderId="1" xfId="0" applyNumberFormat="1" applyFont="1" applyFill="1" applyBorder="1" applyAlignment="1">
      <alignment horizontal="center"/>
    </xf>
    <xf numFmtId="58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/>
    </xf>
    <xf numFmtId="58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58" fontId="2" fillId="5" borderId="1" xfId="0" applyNumberFormat="1" applyFont="1" applyFill="1" applyBorder="1" applyAlignment="1">
      <alignment horizontal="center"/>
    </xf>
    <xf numFmtId="58" fontId="2" fillId="6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7" borderId="1" xfId="0" applyFont="1" applyFill="1" applyBorder="1" applyAlignment="1"/>
    <xf numFmtId="0" fontId="7" fillId="7" borderId="1" xfId="0" applyFont="1" applyFill="1" applyBorder="1" applyAlignment="1">
      <alignment horizontal="center" vertical="center" wrapText="1"/>
    </xf>
    <xf numFmtId="176" fontId="7" fillId="6" borderId="1" xfId="49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0" fontId="4" fillId="7" borderId="1" xfId="4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176" fontId="5" fillId="7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/>
    <xf numFmtId="0" fontId="12" fillId="7" borderId="1" xfId="0" applyFont="1" applyFill="1" applyBorder="1" applyAlignment="1"/>
    <xf numFmtId="0" fontId="13" fillId="7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 quotePrefix="1">
      <alignment horizontal="center"/>
    </xf>
    <xf numFmtId="58" fontId="1" fillId="3" borderId="1" xfId="0" applyNumberFormat="1" applyFont="1" applyFill="1" applyBorder="1" applyAlignment="1" quotePrefix="1">
      <alignment horizontal="center"/>
    </xf>
    <xf numFmtId="0" fontId="1" fillId="2" borderId="1" xfId="0" applyFont="1" applyFill="1" applyBorder="1" applyAlignment="1" quotePrefix="1">
      <alignment horizontal="center"/>
    </xf>
    <xf numFmtId="0" fontId="1" fillId="3" borderId="1" xfId="0" applyFont="1" applyFill="1" applyBorder="1" applyAlignment="1" quotePrefix="1">
      <alignment horizontal="center"/>
    </xf>
    <xf numFmtId="58" fontId="2" fillId="2" borderId="1" xfId="0" applyNumberFormat="1" applyFont="1" applyFill="1" applyBorder="1" applyAlignment="1" quotePrefix="1">
      <alignment horizontal="center"/>
    </xf>
    <xf numFmtId="58" fontId="2" fillId="3" borderId="1" xfId="0" applyNumberFormat="1" applyFont="1" applyFill="1" applyBorder="1" applyAlignment="1" quotePrefix="1">
      <alignment horizontal="center"/>
    </xf>
    <xf numFmtId="0" fontId="2" fillId="2" borderId="1" xfId="0" applyFont="1" applyFill="1" applyBorder="1" applyAlignment="1" quotePrefix="1">
      <alignment horizontal="center"/>
    </xf>
    <xf numFmtId="0" fontId="2" fillId="3" borderId="1" xfId="0" applyFont="1" applyFill="1" applyBorder="1" applyAlignment="1" quotePrefix="1">
      <alignment horizontal="center"/>
    </xf>
    <xf numFmtId="58" fontId="2" fillId="5" borderId="1" xfId="0" applyNumberFormat="1" applyFont="1" applyFill="1" applyBorder="1" applyAlignment="1" quotePrefix="1">
      <alignment horizontal="center"/>
    </xf>
    <xf numFmtId="58" fontId="2" fillId="6" borderId="1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2.png"/><Relationship Id="rId8" Type="http://schemas.openxmlformats.org/officeDocument/2006/relationships/image" Target="media/image11.png"/><Relationship Id="rId7" Type="http://schemas.openxmlformats.org/officeDocument/2006/relationships/image" Target="media/image10.png"/><Relationship Id="rId6" Type="http://schemas.openxmlformats.org/officeDocument/2006/relationships/image" Target="media/image9.png"/><Relationship Id="rId5" Type="http://schemas.openxmlformats.org/officeDocument/2006/relationships/image" Target="media/image8.png"/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9" Type="http://schemas.openxmlformats.org/officeDocument/2006/relationships/image" Target="media/image22.png"/><Relationship Id="rId18" Type="http://schemas.openxmlformats.org/officeDocument/2006/relationships/image" Target="media/image21.png"/><Relationship Id="rId17" Type="http://schemas.openxmlformats.org/officeDocument/2006/relationships/image" Target="media/image20.png"/><Relationship Id="rId16" Type="http://schemas.openxmlformats.org/officeDocument/2006/relationships/image" Target="media/image19.png"/><Relationship Id="rId15" Type="http://schemas.openxmlformats.org/officeDocument/2006/relationships/image" Target="media/image18.png"/><Relationship Id="rId14" Type="http://schemas.openxmlformats.org/officeDocument/2006/relationships/image" Target="media/image17.png"/><Relationship Id="rId13" Type="http://schemas.openxmlformats.org/officeDocument/2006/relationships/image" Target="media/image16.png"/><Relationship Id="rId12" Type="http://schemas.openxmlformats.org/officeDocument/2006/relationships/image" Target="media/image15.png"/><Relationship Id="rId11" Type="http://schemas.openxmlformats.org/officeDocument/2006/relationships/image" Target="media/image14.png"/><Relationship Id="rId10" Type="http://schemas.openxmlformats.org/officeDocument/2006/relationships/image" Target="media/image13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24</xdr:row>
      <xdr:rowOff>194310</xdr:rowOff>
    </xdr:from>
    <xdr:to>
      <xdr:col>7</xdr:col>
      <xdr:colOff>572135</xdr:colOff>
      <xdr:row>45</xdr:row>
      <xdr:rowOff>153670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16177260"/>
          <a:ext cx="7253605" cy="4010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</xdr:row>
      <xdr:rowOff>155575</xdr:rowOff>
    </xdr:from>
    <xdr:to>
      <xdr:col>4</xdr:col>
      <xdr:colOff>400685</xdr:colOff>
      <xdr:row>31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251575"/>
          <a:ext cx="5353050" cy="415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200660</xdr:colOff>
      <xdr:row>6</xdr:row>
      <xdr:rowOff>184150</xdr:rowOff>
    </xdr:from>
    <xdr:to>
      <xdr:col>12</xdr:col>
      <xdr:colOff>257810</xdr:colOff>
      <xdr:row>38</xdr:row>
      <xdr:rowOff>156845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53660" y="5784850"/>
          <a:ext cx="6089650" cy="5979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16936</xdr:rowOff>
    </xdr:from>
    <xdr:to>
      <xdr:col>12</xdr:col>
      <xdr:colOff>46355</xdr:colOff>
      <xdr:row>42</xdr:row>
      <xdr:rowOff>136316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5953760"/>
          <a:ext cx="10182860" cy="5631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zoomScale="60" zoomScaleNormal="60" workbookViewId="0">
      <pane ySplit="3" topLeftCell="A4" activePane="bottomLeft" state="frozen"/>
      <selection/>
      <selection pane="bottomLeft" activeCell="R1" sqref="R$1:U$1048576"/>
    </sheetView>
  </sheetViews>
  <sheetFormatPr defaultColWidth="9" defaultRowHeight="14"/>
  <cols>
    <col min="2" max="2" width="15" customWidth="1"/>
    <col min="3" max="3" width="15.4083333333333" customWidth="1"/>
    <col min="4" max="4" width="21.775" style="1" customWidth="1"/>
    <col min="5" max="5" width="8.83333333333333" style="1" customWidth="1"/>
    <col min="6" max="6" width="9.41666666666667" customWidth="1"/>
    <col min="15" max="15" width="9.25"/>
    <col min="16" max="16" width="14.3916666666667" customWidth="1"/>
    <col min="18" max="20" width="9" hidden="1" customWidth="1"/>
    <col min="21" max="21" width="12.6666666666667" hidden="1" customWidth="1"/>
  </cols>
  <sheetData>
    <row r="1" spans="1:21">
      <c r="D1" s="2"/>
      <c r="E1" s="2">
        <v>2.3</v>
      </c>
      <c r="F1" s="3">
        <v>50</v>
      </c>
      <c r="G1" s="3">
        <v>56</v>
      </c>
      <c r="H1" s="4">
        <v>62</v>
      </c>
      <c r="I1" s="3">
        <v>68</v>
      </c>
      <c r="J1" s="4">
        <v>74</v>
      </c>
      <c r="K1" s="3">
        <v>80</v>
      </c>
      <c r="L1" s="3">
        <v>86</v>
      </c>
      <c r="M1" s="3">
        <v>92</v>
      </c>
      <c r="N1" s="3">
        <v>98</v>
      </c>
    </row>
    <row r="2" ht="18.5" customHeight="1" spans="1:21">
      <c r="B2" s="5" t="s">
        <v>0</v>
      </c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52" t="s">
        <v>6</v>
      </c>
      <c r="I2" s="53" t="s">
        <v>7</v>
      </c>
      <c r="J2" s="54" t="s">
        <v>8</v>
      </c>
      <c r="K2" s="55" t="s">
        <v>9</v>
      </c>
      <c r="L2" s="55" t="s">
        <v>10</v>
      </c>
      <c r="M2" s="7" t="s">
        <v>11</v>
      </c>
      <c r="N2" s="53" t="s">
        <v>12</v>
      </c>
      <c r="O2" s="5" t="s">
        <v>13</v>
      </c>
      <c r="P2" s="11"/>
    </row>
    <row r="3" ht="18.5" customHeight="1" spans="1:21">
      <c r="B3" s="5"/>
      <c r="C3" s="5"/>
      <c r="D3" s="12"/>
      <c r="E3" s="7" t="s">
        <v>14</v>
      </c>
      <c r="F3" s="7" t="s">
        <v>14</v>
      </c>
      <c r="G3" s="7" t="s">
        <v>14</v>
      </c>
      <c r="H3" s="10" t="s">
        <v>14</v>
      </c>
      <c r="I3" s="7" t="s">
        <v>14</v>
      </c>
      <c r="J3" s="10" t="s">
        <v>14</v>
      </c>
      <c r="K3" s="7" t="s">
        <v>14</v>
      </c>
      <c r="L3" s="7" t="s">
        <v>14</v>
      </c>
      <c r="M3" s="7" t="s">
        <v>14</v>
      </c>
      <c r="N3" s="7" t="s">
        <v>15</v>
      </c>
      <c r="O3" s="5"/>
      <c r="P3" s="44" t="s">
        <v>16</v>
      </c>
    </row>
    <row r="4" ht="57.5" customHeight="1" spans="1:21">
      <c r="A4" s="45" t="str">
        <f>_xlfn.DISPIMG("ID_EF24ABADF01F49ECB6C993953F00C800",1)</f>
        <v>=DISPIMG("ID_EF24ABADF01F49ECB6C993953F00C800",1)</v>
      </c>
      <c r="B4" s="45" t="s">
        <v>17</v>
      </c>
      <c r="C4" s="46" t="s">
        <v>18</v>
      </c>
      <c r="D4" s="14" t="s">
        <v>19</v>
      </c>
      <c r="E4" s="13"/>
      <c r="F4" s="13">
        <f>20+142</f>
        <v>162</v>
      </c>
      <c r="G4" s="13">
        <f>20+176</f>
        <v>196</v>
      </c>
      <c r="H4" s="13">
        <f>40+332</f>
        <v>372</v>
      </c>
      <c r="I4" s="13">
        <f>20+408</f>
        <v>428</v>
      </c>
      <c r="J4" s="13">
        <f>20+304</f>
        <v>324</v>
      </c>
      <c r="K4" s="13">
        <f>20+246</f>
        <v>266</v>
      </c>
      <c r="L4" s="13">
        <f>20+172</f>
        <v>192</v>
      </c>
      <c r="M4" s="13">
        <f>20+124</f>
        <v>144</v>
      </c>
      <c r="N4" s="13"/>
      <c r="O4" s="14">
        <f>SUM(F4:N4)</f>
        <v>2084</v>
      </c>
      <c r="P4" s="47" t="s">
        <v>20</v>
      </c>
      <c r="R4" s="45">
        <v>952</v>
      </c>
      <c r="T4">
        <f>O4-R4*2</f>
        <v>180</v>
      </c>
      <c r="U4">
        <f>T4/R4</f>
        <v>0.189075630252101</v>
      </c>
    </row>
    <row r="5" ht="57.5" customHeight="1" spans="1:21">
      <c r="A5" s="48" t="str">
        <f>_xlfn.DISPIMG("ID_6C22E3A576544261B45C87850AE22304",1)</f>
        <v>=DISPIMG("ID_6C22E3A576544261B45C87850AE22304",1)</v>
      </c>
      <c r="B5" s="39" t="s">
        <v>21</v>
      </c>
      <c r="C5" s="46" t="s">
        <v>22</v>
      </c>
      <c r="D5" s="14" t="s">
        <v>19</v>
      </c>
      <c r="E5" s="13"/>
      <c r="F5" s="13">
        <f>10+85</f>
        <v>95</v>
      </c>
      <c r="G5" s="13">
        <f>10+114</f>
        <v>124</v>
      </c>
      <c r="H5" s="13">
        <f>20+242</f>
        <v>262</v>
      </c>
      <c r="I5" s="13">
        <f>10+290</f>
        <v>300</v>
      </c>
      <c r="J5" s="13">
        <f>10+207</f>
        <v>217</v>
      </c>
      <c r="K5" s="13">
        <f>10+164</f>
        <v>174</v>
      </c>
      <c r="L5" s="13">
        <f>10+99</f>
        <v>109</v>
      </c>
      <c r="M5" s="13">
        <f>10+64</f>
        <v>74</v>
      </c>
      <c r="N5" s="13"/>
      <c r="O5" s="14">
        <f>SUM(F5:N5)</f>
        <v>1355</v>
      </c>
      <c r="P5" s="47" t="s">
        <v>20</v>
      </c>
      <c r="R5" s="39">
        <v>1265</v>
      </c>
      <c r="T5">
        <f t="shared" ref="T5:T24" si="0">O5-R5</f>
        <v>90</v>
      </c>
      <c r="U5">
        <f t="shared" ref="U5:U24" si="1">T5/R5</f>
        <v>0.0711462450592885</v>
      </c>
    </row>
    <row r="6" ht="57.5" customHeight="1" spans="1:21">
      <c r="A6" s="48" t="str">
        <f>_xlfn.DISPIMG("ID_9CC6A5F24CB340ECB493BA6C2A693CC8",1)</f>
        <v>=DISPIMG("ID_9CC6A5F24CB340ECB493BA6C2A693CC8",1)</v>
      </c>
      <c r="B6" s="39" t="s">
        <v>23</v>
      </c>
      <c r="C6" s="46" t="s">
        <v>24</v>
      </c>
      <c r="D6" s="14" t="s">
        <v>19</v>
      </c>
      <c r="E6" s="13"/>
      <c r="F6" s="13">
        <f>10+79</f>
        <v>89</v>
      </c>
      <c r="G6" s="13">
        <f>10+102</f>
        <v>112</v>
      </c>
      <c r="H6" s="13">
        <f>20+240</f>
        <v>260</v>
      </c>
      <c r="I6" s="13">
        <f>10+283</f>
        <v>293</v>
      </c>
      <c r="J6" s="13">
        <f>10+215</f>
        <v>225</v>
      </c>
      <c r="K6" s="13">
        <f>10+190</f>
        <v>200</v>
      </c>
      <c r="L6" s="13">
        <f>10+114</f>
        <v>124</v>
      </c>
      <c r="M6" s="13">
        <f>10+68</f>
        <v>78</v>
      </c>
      <c r="N6" s="13"/>
      <c r="O6" s="14">
        <f>SUM(F6:N6)</f>
        <v>1381</v>
      </c>
      <c r="P6" s="47" t="s">
        <v>20</v>
      </c>
      <c r="R6" s="39">
        <v>1291</v>
      </c>
      <c r="T6">
        <f t="shared" si="0"/>
        <v>90</v>
      </c>
      <c r="U6">
        <f t="shared" si="1"/>
        <v>0.069713400464756</v>
      </c>
    </row>
    <row r="7" ht="57.5" customHeight="1" spans="1:21">
      <c r="A7" s="48" t="str">
        <f>_xlfn.DISPIMG("ID_9CC6A5F24CB340ECB493BA6C2A693CC8",1)</f>
        <v>=DISPIMG("ID_9CC6A5F24CB340ECB493BA6C2A693CC8",1)</v>
      </c>
      <c r="B7" s="39" t="s">
        <v>25</v>
      </c>
      <c r="C7" s="46" t="s">
        <v>26</v>
      </c>
      <c r="D7" s="14" t="s">
        <v>19</v>
      </c>
      <c r="E7" s="13"/>
      <c r="F7" s="13">
        <f>10+79</f>
        <v>89</v>
      </c>
      <c r="G7" s="13">
        <f>10+102</f>
        <v>112</v>
      </c>
      <c r="H7" s="13">
        <f>20+240</f>
        <v>260</v>
      </c>
      <c r="I7" s="13">
        <f>10+283</f>
        <v>293</v>
      </c>
      <c r="J7" s="13">
        <f>10+215</f>
        <v>225</v>
      </c>
      <c r="K7" s="13">
        <f>10+190</f>
        <v>200</v>
      </c>
      <c r="L7" s="13">
        <f>10+114</f>
        <v>124</v>
      </c>
      <c r="M7" s="13">
        <f>10+68</f>
        <v>78</v>
      </c>
      <c r="N7" s="13"/>
      <c r="O7" s="14">
        <f t="shared" ref="O7:O17" si="2">SUM(F7:N7)</f>
        <v>1381</v>
      </c>
      <c r="P7" s="47" t="s">
        <v>20</v>
      </c>
      <c r="R7" s="39">
        <v>1291</v>
      </c>
      <c r="T7">
        <f t="shared" si="0"/>
        <v>90</v>
      </c>
      <c r="U7">
        <f t="shared" si="1"/>
        <v>0.069713400464756</v>
      </c>
    </row>
    <row r="8" ht="57.5" customHeight="1" spans="1:21">
      <c r="A8" s="48" t="str">
        <f>_xlfn.DISPIMG("ID_F5E9973EE78543548432F67848EAB441",1)</f>
        <v>=DISPIMG("ID_F5E9973EE78543548432F67848EAB441",1)</v>
      </c>
      <c r="B8" s="39" t="s">
        <v>27</v>
      </c>
      <c r="C8" s="46" t="s">
        <v>28</v>
      </c>
      <c r="D8" s="14" t="s">
        <v>19</v>
      </c>
      <c r="E8" s="13"/>
      <c r="F8" s="13">
        <f>10+52</f>
        <v>62</v>
      </c>
      <c r="G8" s="13">
        <f>10+66</f>
        <v>76</v>
      </c>
      <c r="H8" s="13">
        <f>20+150</f>
        <v>170</v>
      </c>
      <c r="I8" s="13">
        <f>10+178</f>
        <v>188</v>
      </c>
      <c r="J8" s="13">
        <f>10+136</f>
        <v>146</v>
      </c>
      <c r="K8" s="13">
        <f>10+113</f>
        <v>123</v>
      </c>
      <c r="L8" s="13">
        <f>10+69</f>
        <v>79</v>
      </c>
      <c r="M8" s="13">
        <f>10+48</f>
        <v>58</v>
      </c>
      <c r="N8" s="13"/>
      <c r="O8" s="14">
        <f t="shared" si="2"/>
        <v>902</v>
      </c>
      <c r="P8" s="47" t="s">
        <v>20</v>
      </c>
      <c r="R8" s="39">
        <v>812</v>
      </c>
      <c r="T8">
        <f t="shared" si="0"/>
        <v>90</v>
      </c>
      <c r="U8">
        <f t="shared" si="1"/>
        <v>0.110837438423645</v>
      </c>
    </row>
    <row r="9" ht="57.5" customHeight="1" spans="1:21">
      <c r="A9" s="48" t="str">
        <f>_xlfn.DISPIMG("ID_F5E9973EE78543548432F67848EAB441",1)</f>
        <v>=DISPIMG("ID_F5E9973EE78543548432F67848EAB441",1)</v>
      </c>
      <c r="B9" s="39" t="s">
        <v>29</v>
      </c>
      <c r="C9" s="46" t="s">
        <v>30</v>
      </c>
      <c r="D9" s="14" t="s">
        <v>19</v>
      </c>
      <c r="E9" s="13"/>
      <c r="F9" s="13">
        <f>10+52</f>
        <v>62</v>
      </c>
      <c r="G9" s="13">
        <f>10+66</f>
        <v>76</v>
      </c>
      <c r="H9" s="13">
        <f>20+150</f>
        <v>170</v>
      </c>
      <c r="I9" s="13">
        <f>10+178</f>
        <v>188</v>
      </c>
      <c r="J9" s="13">
        <f>10+136</f>
        <v>146</v>
      </c>
      <c r="K9" s="13">
        <f>10+113</f>
        <v>123</v>
      </c>
      <c r="L9" s="13">
        <f>10+69</f>
        <v>79</v>
      </c>
      <c r="M9" s="13">
        <f>10+48</f>
        <v>58</v>
      </c>
      <c r="N9" s="13"/>
      <c r="O9" s="14">
        <f t="shared" si="2"/>
        <v>902</v>
      </c>
      <c r="P9" s="47" t="s">
        <v>20</v>
      </c>
      <c r="R9" s="39">
        <v>812</v>
      </c>
      <c r="T9">
        <f t="shared" si="0"/>
        <v>90</v>
      </c>
      <c r="U9">
        <f t="shared" si="1"/>
        <v>0.110837438423645</v>
      </c>
    </row>
    <row r="10" ht="57.5" customHeight="1" spans="1:21">
      <c r="A10" s="48" t="str">
        <f>_xlfn.DISPIMG("ID_B10D77309BF04BACBAD95C5CBE1FFA94",1)</f>
        <v>=DISPIMG("ID_B10D77309BF04BACBAD95C5CBE1FFA94",1)</v>
      </c>
      <c r="B10" s="39" t="s">
        <v>31</v>
      </c>
      <c r="C10" s="46" t="s">
        <v>32</v>
      </c>
      <c r="D10" s="14" t="s">
        <v>19</v>
      </c>
      <c r="E10" s="13"/>
      <c r="F10" s="13">
        <f>10+63</f>
        <v>73</v>
      </c>
      <c r="G10" s="13">
        <f>10+82</f>
        <v>92</v>
      </c>
      <c r="H10" s="13">
        <f>20+165</f>
        <v>185</v>
      </c>
      <c r="I10" s="13">
        <f>10+202</f>
        <v>212</v>
      </c>
      <c r="J10" s="13">
        <f>10+146</f>
        <v>156</v>
      </c>
      <c r="K10" s="13">
        <f>10+113</f>
        <v>123</v>
      </c>
      <c r="L10" s="13">
        <f>10+77</f>
        <v>87</v>
      </c>
      <c r="M10" s="13">
        <f>10+52</f>
        <v>62</v>
      </c>
      <c r="N10" s="13"/>
      <c r="O10" s="14">
        <f t="shared" si="2"/>
        <v>990</v>
      </c>
      <c r="P10" s="47" t="s">
        <v>20</v>
      </c>
      <c r="R10" s="39">
        <v>900</v>
      </c>
      <c r="T10">
        <f t="shared" si="0"/>
        <v>90</v>
      </c>
      <c r="U10">
        <f t="shared" si="1"/>
        <v>0.1</v>
      </c>
    </row>
    <row r="11" ht="57.5" customHeight="1" spans="1:21">
      <c r="A11" s="48" t="str">
        <f>_xlfn.DISPIMG("ID_B10D77309BF04BACBAD95C5CBE1FFA94",1)</f>
        <v>=DISPIMG("ID_B10D77309BF04BACBAD95C5CBE1FFA94",1)</v>
      </c>
      <c r="B11" s="39" t="s">
        <v>33</v>
      </c>
      <c r="C11" s="46" t="s">
        <v>34</v>
      </c>
      <c r="D11" s="14" t="s">
        <v>19</v>
      </c>
      <c r="E11" s="13"/>
      <c r="F11" s="13">
        <f>10+63</f>
        <v>73</v>
      </c>
      <c r="G11" s="13">
        <f>10+82</f>
        <v>92</v>
      </c>
      <c r="H11" s="13">
        <f>20+165</f>
        <v>185</v>
      </c>
      <c r="I11" s="13">
        <f>10+202</f>
        <v>212</v>
      </c>
      <c r="J11" s="13">
        <f>10+146</f>
        <v>156</v>
      </c>
      <c r="K11" s="13">
        <f>10+113</f>
        <v>123</v>
      </c>
      <c r="L11" s="13">
        <f>10+77</f>
        <v>87</v>
      </c>
      <c r="M11" s="13">
        <f>10+52</f>
        <v>62</v>
      </c>
      <c r="N11" s="13"/>
      <c r="O11" s="14">
        <f t="shared" si="2"/>
        <v>990</v>
      </c>
      <c r="P11" s="47" t="s">
        <v>20</v>
      </c>
      <c r="R11" s="39">
        <v>900</v>
      </c>
      <c r="T11">
        <f t="shared" si="0"/>
        <v>90</v>
      </c>
      <c r="U11">
        <f t="shared" si="1"/>
        <v>0.1</v>
      </c>
    </row>
    <row r="12" ht="57.5" customHeight="1" spans="1:21">
      <c r="A12" s="49" t="str">
        <f>_xlfn.DISPIMG("ID_3D6DE86EB5324C158EFEDEEC7ABFF35E",1)</f>
        <v>=DISPIMG("ID_3D6DE86EB5324C158EFEDEEC7ABFF35E",1)</v>
      </c>
      <c r="B12" s="39" t="s">
        <v>35</v>
      </c>
      <c r="C12" s="46" t="s">
        <v>36</v>
      </c>
      <c r="D12" s="14" t="s">
        <v>19</v>
      </c>
      <c r="E12" s="13"/>
      <c r="F12" s="13">
        <f>10+97</f>
        <v>107</v>
      </c>
      <c r="G12" s="13">
        <f>10+183</f>
        <v>193</v>
      </c>
      <c r="H12" s="13">
        <f>20+431</f>
        <v>451</v>
      </c>
      <c r="I12" s="13">
        <f>10+530</f>
        <v>540</v>
      </c>
      <c r="J12" s="13">
        <f>10+382</f>
        <v>392</v>
      </c>
      <c r="K12" s="13">
        <f>10+319</f>
        <v>329</v>
      </c>
      <c r="L12" s="13">
        <f>10+193</f>
        <v>203</v>
      </c>
      <c r="M12" s="13">
        <f>10+131</f>
        <v>141</v>
      </c>
      <c r="N12" s="13"/>
      <c r="O12" s="14">
        <f t="shared" si="2"/>
        <v>2356</v>
      </c>
      <c r="P12" s="47" t="s">
        <v>20</v>
      </c>
      <c r="R12" s="50">
        <v>2266</v>
      </c>
      <c r="T12">
        <f t="shared" si="0"/>
        <v>90</v>
      </c>
      <c r="U12">
        <f t="shared" si="1"/>
        <v>0.0397175639894086</v>
      </c>
    </row>
    <row r="13" ht="57.5" customHeight="1" spans="1:21">
      <c r="A13" s="49" t="str">
        <f>_xlfn.DISPIMG("ID_3D6DE86EB5324C158EFEDEEC7ABFF35E",1)</f>
        <v>=DISPIMG("ID_3D6DE86EB5324C158EFEDEEC7ABFF35E",1)</v>
      </c>
      <c r="B13" s="39" t="s">
        <v>37</v>
      </c>
      <c r="C13" s="46" t="s">
        <v>38</v>
      </c>
      <c r="D13" s="14" t="s">
        <v>19</v>
      </c>
      <c r="E13" s="13"/>
      <c r="F13" s="13">
        <v>107</v>
      </c>
      <c r="G13" s="13">
        <v>193</v>
      </c>
      <c r="H13" s="13">
        <v>451</v>
      </c>
      <c r="I13" s="13">
        <v>540</v>
      </c>
      <c r="J13" s="13">
        <v>392</v>
      </c>
      <c r="K13" s="13">
        <v>329</v>
      </c>
      <c r="L13" s="13">
        <v>203</v>
      </c>
      <c r="M13" s="13">
        <v>141</v>
      </c>
      <c r="N13" s="13"/>
      <c r="O13" s="14">
        <f t="shared" si="2"/>
        <v>2356</v>
      </c>
      <c r="P13" s="47" t="s">
        <v>20</v>
      </c>
      <c r="R13" s="50">
        <v>2266</v>
      </c>
      <c r="T13">
        <f t="shared" si="0"/>
        <v>90</v>
      </c>
      <c r="U13">
        <f t="shared" si="1"/>
        <v>0.0397175639894086</v>
      </c>
    </row>
    <row r="14" ht="57.5" customHeight="1" spans="1:21">
      <c r="A14" s="48" t="str">
        <f>_xlfn.DISPIMG("ID_26CF380CB72C42F58202B0D3926DC734",1)</f>
        <v>=DISPIMG("ID_26CF380CB72C42F58202B0D3926DC734",1)</v>
      </c>
      <c r="B14" s="45" t="s">
        <v>39</v>
      </c>
      <c r="C14" s="46" t="s">
        <v>24</v>
      </c>
      <c r="D14" s="14" t="s">
        <v>19</v>
      </c>
      <c r="E14" s="13"/>
      <c r="F14" s="13">
        <f>15+144</f>
        <v>159</v>
      </c>
      <c r="G14" s="13">
        <f>15+147</f>
        <v>162</v>
      </c>
      <c r="H14" s="13">
        <f>20+236</f>
        <v>256</v>
      </c>
      <c r="I14" s="13">
        <f>15+430</f>
        <v>445</v>
      </c>
      <c r="J14" s="13">
        <f>15+385</f>
        <v>400</v>
      </c>
      <c r="K14" s="13">
        <f>15+342</f>
        <v>357</v>
      </c>
      <c r="L14" s="13">
        <f>15+323</f>
        <v>338</v>
      </c>
      <c r="M14" s="13">
        <f>15+97</f>
        <v>112</v>
      </c>
      <c r="N14" s="13"/>
      <c r="O14" s="14">
        <f t="shared" si="2"/>
        <v>2229</v>
      </c>
      <c r="P14" s="47" t="s">
        <v>40</v>
      </c>
      <c r="R14" s="45">
        <v>2104</v>
      </c>
      <c r="T14">
        <f t="shared" si="0"/>
        <v>125</v>
      </c>
      <c r="U14">
        <f t="shared" si="1"/>
        <v>0.0594106463878327</v>
      </c>
    </row>
    <row r="15" ht="57.5" customHeight="1" spans="1:21">
      <c r="A15" s="48" t="str">
        <f>_xlfn.DISPIMG("ID_8C90292D3FCF45D59E2CAC30466594A4",1)</f>
        <v>=DISPIMG("ID_8C90292D3FCF45D59E2CAC30466594A4",1)</v>
      </c>
      <c r="B15" s="45" t="s">
        <v>41</v>
      </c>
      <c r="C15" s="46" t="s">
        <v>24</v>
      </c>
      <c r="D15" s="14" t="s">
        <v>19</v>
      </c>
      <c r="E15" s="13"/>
      <c r="F15" s="13">
        <f>15+116</f>
        <v>131</v>
      </c>
      <c r="G15" s="13">
        <f>15+167</f>
        <v>182</v>
      </c>
      <c r="H15" s="13">
        <f>20+229</f>
        <v>249</v>
      </c>
      <c r="I15" s="13">
        <f>15+218</f>
        <v>233</v>
      </c>
      <c r="J15" s="13">
        <f>15+134</f>
        <v>149</v>
      </c>
      <c r="K15" s="13">
        <f>15+76</f>
        <v>91</v>
      </c>
      <c r="L15" s="13">
        <f>15+36</f>
        <v>51</v>
      </c>
      <c r="M15" s="13"/>
      <c r="N15" s="13"/>
      <c r="O15" s="14">
        <f t="shared" si="2"/>
        <v>1086</v>
      </c>
      <c r="P15" s="47" t="s">
        <v>40</v>
      </c>
      <c r="R15" s="45">
        <v>976</v>
      </c>
      <c r="T15">
        <f t="shared" si="0"/>
        <v>110</v>
      </c>
      <c r="U15">
        <f t="shared" si="1"/>
        <v>0.112704918032787</v>
      </c>
    </row>
    <row r="16" ht="57.5" customHeight="1" spans="1:21">
      <c r="A16" s="48" t="str">
        <f>_xlfn.DISPIMG("ID_5606B77D12FF49B7A32C57A2D56D31E5",1)</f>
        <v>=DISPIMG("ID_5606B77D12FF49B7A32C57A2D56D31E5",1)</v>
      </c>
      <c r="B16" s="39" t="s">
        <v>42</v>
      </c>
      <c r="C16" s="46" t="s">
        <v>22</v>
      </c>
      <c r="D16" s="14" t="s">
        <v>19</v>
      </c>
      <c r="E16" s="13"/>
      <c r="F16" s="13">
        <f>15+79</f>
        <v>94</v>
      </c>
      <c r="G16" s="13">
        <f>15+102</f>
        <v>117</v>
      </c>
      <c r="H16" s="13">
        <f>20+206</f>
        <v>226</v>
      </c>
      <c r="I16" s="13">
        <f>15+246</f>
        <v>261</v>
      </c>
      <c r="J16" s="13">
        <f>15+181</f>
        <v>196</v>
      </c>
      <c r="K16" s="13">
        <f>15+140</f>
        <v>155</v>
      </c>
      <c r="L16" s="13">
        <f>15+97</f>
        <v>112</v>
      </c>
      <c r="M16" s="13">
        <f>15+66</f>
        <v>81</v>
      </c>
      <c r="N16" s="13"/>
      <c r="O16" s="14">
        <f t="shared" si="2"/>
        <v>1242</v>
      </c>
      <c r="P16" s="47" t="s">
        <v>40</v>
      </c>
      <c r="R16" s="39">
        <v>1117</v>
      </c>
      <c r="T16">
        <f t="shared" si="0"/>
        <v>125</v>
      </c>
      <c r="U16">
        <f t="shared" si="1"/>
        <v>0.111906893464637</v>
      </c>
    </row>
    <row r="17" ht="57.5" customHeight="1" spans="1:21">
      <c r="A17" s="49" t="str">
        <f>_xlfn.DISPIMG("ID_56789881FC2D44B3B2491C4CD94DC061",1)</f>
        <v>=DISPIMG("ID_56789881FC2D44B3B2491C4CD94DC061",1)</v>
      </c>
      <c r="B17" s="39" t="s">
        <v>43</v>
      </c>
      <c r="C17" s="46" t="s">
        <v>44</v>
      </c>
      <c r="D17" s="14" t="s">
        <v>19</v>
      </c>
      <c r="E17" s="13"/>
      <c r="F17" s="13"/>
      <c r="G17" s="13">
        <f>15+36</f>
        <v>51</v>
      </c>
      <c r="H17" s="13">
        <f>20+120</f>
        <v>140</v>
      </c>
      <c r="I17" s="13">
        <f>15+265</f>
        <v>280</v>
      </c>
      <c r="J17" s="13">
        <f>15+227</f>
        <v>242</v>
      </c>
      <c r="K17" s="13">
        <f>15+251</f>
        <v>266</v>
      </c>
      <c r="L17" s="13">
        <f>15+193</f>
        <v>208</v>
      </c>
      <c r="M17" s="13">
        <f>15+82</f>
        <v>97</v>
      </c>
      <c r="N17" s="13"/>
      <c r="O17" s="14">
        <f t="shared" si="2"/>
        <v>1284</v>
      </c>
      <c r="P17" s="51" t="s">
        <v>40</v>
      </c>
      <c r="R17" s="50">
        <v>1174</v>
      </c>
      <c r="T17">
        <f t="shared" si="0"/>
        <v>110</v>
      </c>
      <c r="U17">
        <f t="shared" si="1"/>
        <v>0.0936967632027257</v>
      </c>
    </row>
    <row r="18" ht="57.5" customHeight="1" spans="1:21">
      <c r="A18" s="49" t="str">
        <f>_xlfn.DISPIMG("ID_217D6EF38EF14761B8BAEA951F3D6E23",1)</f>
        <v>=DISPIMG("ID_217D6EF38EF14761B8BAEA951F3D6E23",1)</v>
      </c>
      <c r="B18" s="39" t="s">
        <v>45</v>
      </c>
      <c r="C18" s="46" t="s">
        <v>46</v>
      </c>
      <c r="D18" s="14" t="s">
        <v>19</v>
      </c>
      <c r="E18" s="13">
        <v>36</v>
      </c>
      <c r="F18" s="13">
        <v>370</v>
      </c>
      <c r="G18" s="13">
        <v>198</v>
      </c>
      <c r="H18" s="13">
        <v>458</v>
      </c>
      <c r="I18" s="13">
        <v>380</v>
      </c>
      <c r="J18" s="13">
        <v>290</v>
      </c>
      <c r="K18" s="13">
        <v>228</v>
      </c>
      <c r="L18" s="13">
        <v>140</v>
      </c>
      <c r="M18" s="13">
        <v>94</v>
      </c>
      <c r="N18" s="13"/>
      <c r="O18" s="14">
        <f>SUM(E18:N18)</f>
        <v>2194</v>
      </c>
      <c r="P18" s="51" t="s">
        <v>40</v>
      </c>
      <c r="R18" s="50">
        <v>957</v>
      </c>
      <c r="T18">
        <f>O18-R18*2</f>
        <v>280</v>
      </c>
      <c r="U18">
        <f t="shared" si="1"/>
        <v>0.292580982236155</v>
      </c>
    </row>
    <row r="19" ht="57.5" customHeight="1" spans="1:21">
      <c r="A19" s="49" t="str">
        <f>_xlfn.DISPIMG("ID_F6B591BDD3CA4F3D9FDDEDE2B06AF780",1)</f>
        <v>=DISPIMG("ID_F6B591BDD3CA4F3D9FDDEDE2B06AF780",1)</v>
      </c>
      <c r="B19" s="39" t="s">
        <v>47</v>
      </c>
      <c r="C19" s="46" t="s">
        <v>48</v>
      </c>
      <c r="D19" s="14" t="s">
        <v>19</v>
      </c>
      <c r="E19" s="13">
        <v>42</v>
      </c>
      <c r="F19" s="13">
        <v>378</v>
      </c>
      <c r="G19" s="13">
        <v>218</v>
      </c>
      <c r="H19" s="13">
        <v>486</v>
      </c>
      <c r="I19" s="13">
        <v>412</v>
      </c>
      <c r="J19" s="13">
        <v>310</v>
      </c>
      <c r="K19" s="13">
        <v>244</v>
      </c>
      <c r="L19" s="13">
        <v>156</v>
      </c>
      <c r="M19" s="13">
        <v>104</v>
      </c>
      <c r="N19" s="13">
        <v>4</v>
      </c>
      <c r="O19" s="14">
        <f>SUM(E19:N19)</f>
        <v>2354</v>
      </c>
      <c r="P19" s="51" t="s">
        <v>40</v>
      </c>
      <c r="R19" s="50">
        <v>1037</v>
      </c>
      <c r="T19">
        <f>O19-R19*2</f>
        <v>280</v>
      </c>
      <c r="U19">
        <f>T19/R19</f>
        <v>0.270009643201543</v>
      </c>
    </row>
    <row r="20" ht="57.5" customHeight="1" spans="1:21">
      <c r="A20" s="49" t="str">
        <f>_xlfn.DISPIMG("ID_520389D402CF4E77A050998580CA14F5",1)</f>
        <v>=DISPIMG("ID_520389D402CF4E77A050998580CA14F5",1)</v>
      </c>
      <c r="B20" s="39" t="s">
        <v>49</v>
      </c>
      <c r="C20" s="46" t="s">
        <v>36</v>
      </c>
      <c r="D20" s="14" t="s">
        <v>19</v>
      </c>
      <c r="E20" s="13">
        <v>31</v>
      </c>
      <c r="F20" s="13">
        <v>200</v>
      </c>
      <c r="G20" s="13">
        <v>120</v>
      </c>
      <c r="H20" s="13">
        <v>255</v>
      </c>
      <c r="I20" s="13">
        <v>219</v>
      </c>
      <c r="J20" s="13">
        <v>168</v>
      </c>
      <c r="K20" s="13">
        <v>133</v>
      </c>
      <c r="L20" s="13">
        <v>88</v>
      </c>
      <c r="M20" s="13">
        <v>61</v>
      </c>
      <c r="N20" s="13">
        <v>17</v>
      </c>
      <c r="O20" s="14">
        <f>SUM(E20:N20)</f>
        <v>1292</v>
      </c>
      <c r="P20" s="51" t="s">
        <v>40</v>
      </c>
      <c r="R20" s="50">
        <v>1137</v>
      </c>
      <c r="T20">
        <f>O20-R20</f>
        <v>155</v>
      </c>
      <c r="U20">
        <f>T20/R20</f>
        <v>0.136323658751099</v>
      </c>
    </row>
    <row r="21" ht="57.5" customHeight="1" spans="1:21">
      <c r="A21" s="49" t="str">
        <f>_xlfn.DISPIMG("ID_520389D402CF4E77A050998580CA14F5",1)</f>
        <v>=DISPIMG("ID_520389D402CF4E77A050998580CA14F5",1)</v>
      </c>
      <c r="B21" s="39" t="s">
        <v>50</v>
      </c>
      <c r="C21" s="46" t="s">
        <v>51</v>
      </c>
      <c r="D21" s="14" t="s">
        <v>19</v>
      </c>
      <c r="E21" s="13">
        <v>31</v>
      </c>
      <c r="F21" s="13">
        <v>200</v>
      </c>
      <c r="G21" s="13">
        <v>120</v>
      </c>
      <c r="H21" s="13">
        <v>255</v>
      </c>
      <c r="I21" s="13">
        <v>219</v>
      </c>
      <c r="J21" s="13">
        <v>168</v>
      </c>
      <c r="K21" s="13">
        <v>133</v>
      </c>
      <c r="L21" s="13">
        <v>88</v>
      </c>
      <c r="M21" s="13">
        <v>61</v>
      </c>
      <c r="N21" s="13">
        <v>17</v>
      </c>
      <c r="O21" s="14">
        <f>SUM(E21:N21)</f>
        <v>1292</v>
      </c>
      <c r="P21" s="51" t="s">
        <v>40</v>
      </c>
      <c r="R21" s="50">
        <v>1137</v>
      </c>
      <c r="T21">
        <f>O21-R21</f>
        <v>155</v>
      </c>
      <c r="U21">
        <f>T21/R21</f>
        <v>0.136323658751099</v>
      </c>
    </row>
    <row r="22" ht="57.5" customHeight="1" spans="1:21">
      <c r="A22" s="48" t="str">
        <f>_xlfn.DISPIMG("ID_FBE728568E9E4A1D8B36A05CA8EDC24D",1)</f>
        <v>=DISPIMG("ID_FBE728568E9E4A1D8B36A05CA8EDC24D",1)</v>
      </c>
      <c r="B22" s="39" t="s">
        <v>52</v>
      </c>
      <c r="C22" s="46" t="s">
        <v>53</v>
      </c>
      <c r="D22" s="14" t="s">
        <v>19</v>
      </c>
      <c r="E22" s="13"/>
      <c r="F22" s="13">
        <v>165</v>
      </c>
      <c r="G22" s="13">
        <v>179</v>
      </c>
      <c r="H22" s="13">
        <v>260</v>
      </c>
      <c r="I22" s="13">
        <v>215</v>
      </c>
      <c r="J22" s="13">
        <v>136</v>
      </c>
      <c r="K22" s="13">
        <v>103</v>
      </c>
      <c r="L22" s="13">
        <v>61</v>
      </c>
      <c r="M22" s="13"/>
      <c r="N22" s="13"/>
      <c r="O22" s="14">
        <f>SUM(F22:N22)</f>
        <v>1119</v>
      </c>
      <c r="P22" s="47" t="s">
        <v>54</v>
      </c>
      <c r="R22" s="39">
        <v>1009</v>
      </c>
      <c r="T22">
        <f>O22-R22</f>
        <v>110</v>
      </c>
      <c r="U22">
        <f>T22/R22</f>
        <v>0.109018830525273</v>
      </c>
    </row>
    <row r="23" ht="57.5" customHeight="1" spans="1:21">
      <c r="A23" s="49" t="str">
        <f>_xlfn.DISPIMG("ID_1A9D00471D9A4A4AACCE442ED37BC615",1)</f>
        <v>=DISPIMG("ID_1A9D00471D9A4A4AACCE442ED37BC615",1)</v>
      </c>
      <c r="B23" s="39" t="s">
        <v>55</v>
      </c>
      <c r="C23" s="46" t="s">
        <v>56</v>
      </c>
      <c r="D23" s="14" t="s">
        <v>19</v>
      </c>
      <c r="E23" s="13"/>
      <c r="F23" s="13">
        <v>165</v>
      </c>
      <c r="G23" s="13">
        <v>179</v>
      </c>
      <c r="H23" s="13">
        <v>262</v>
      </c>
      <c r="I23" s="13">
        <v>218</v>
      </c>
      <c r="J23" s="13">
        <v>140</v>
      </c>
      <c r="K23" s="13">
        <v>110</v>
      </c>
      <c r="L23" s="13">
        <v>65</v>
      </c>
      <c r="M23" s="13"/>
      <c r="N23" s="13"/>
      <c r="O23" s="14">
        <f>SUM(F23:N23)</f>
        <v>1139</v>
      </c>
      <c r="P23" s="47" t="s">
        <v>54</v>
      </c>
      <c r="R23" s="50">
        <v>1029</v>
      </c>
      <c r="T23">
        <f>O23-R23</f>
        <v>110</v>
      </c>
      <c r="U23">
        <f>T23/R23</f>
        <v>0.10689990281827</v>
      </c>
    </row>
    <row r="24" ht="57.5" customHeight="1" spans="1:21">
      <c r="A24" s="49" t="str">
        <f>_xlfn.DISPIMG("ID_843D15FF04504544AAA897728E94F787",1)</f>
        <v>=DISPIMG("ID_843D15FF04504544AAA897728E94F787",1)</v>
      </c>
      <c r="B24" s="39" t="s">
        <v>57</v>
      </c>
      <c r="C24" s="46" t="s">
        <v>58</v>
      </c>
      <c r="D24" s="14" t="s">
        <v>19</v>
      </c>
      <c r="E24" s="13"/>
      <c r="F24" s="13">
        <v>165</v>
      </c>
      <c r="G24" s="13">
        <v>179</v>
      </c>
      <c r="H24" s="13">
        <v>263</v>
      </c>
      <c r="I24" s="13">
        <v>220</v>
      </c>
      <c r="J24" s="13">
        <v>138</v>
      </c>
      <c r="K24" s="13">
        <v>106</v>
      </c>
      <c r="L24" s="13">
        <v>58</v>
      </c>
      <c r="M24" s="13"/>
      <c r="N24" s="13"/>
      <c r="O24" s="14">
        <f>SUM(F24:N24)</f>
        <v>1129</v>
      </c>
      <c r="P24" s="47" t="s">
        <v>54</v>
      </c>
      <c r="R24" s="50">
        <v>1019</v>
      </c>
      <c r="T24">
        <f>O24-R24</f>
        <v>110</v>
      </c>
      <c r="U24">
        <f>T24/R24</f>
        <v>0.107948969578018</v>
      </c>
    </row>
    <row r="25" ht="39" customHeight="1" spans="1:21">
      <c r="O25" s="14">
        <f>SUM(O4:O24)</f>
        <v>31057</v>
      </c>
    </row>
  </sheetData>
  <autoFilter xmlns:etc="http://www.wps.cn/officeDocument/2017/etCustomData" ref="A3:U25" etc:filterBottomFollowUsedRange="0">
    <extLst/>
  </autoFilter>
  <mergeCells count="4">
    <mergeCell ref="B2:B3"/>
    <mergeCell ref="C2:C3"/>
    <mergeCell ref="D2:D3"/>
    <mergeCell ref="O2:O3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6"/>
  <sheetViews>
    <sheetView zoomScale="50" zoomScaleNormal="50" workbookViewId="0">
      <selection activeCell="X1" sqref="W$1:X$1048576"/>
    </sheetView>
  </sheetViews>
  <sheetFormatPr defaultColWidth="8.66666666666667" defaultRowHeight="14"/>
  <cols>
    <col min="1" max="1" width="18.5" customWidth="1"/>
    <col min="2" max="2" width="18" customWidth="1"/>
    <col min="3" max="3" width="15.8333333333333" customWidth="1"/>
    <col min="4" max="4" width="12.6666666666667" customWidth="1"/>
    <col min="5" max="5" width="18.3333333333333" customWidth="1"/>
    <col min="12" max="12" width="8.83333333333333"/>
    <col min="20" max="20" width="12.6666666666667" customWidth="1"/>
    <col min="21" max="21" width="24.5" hidden="1" customWidth="1"/>
    <col min="23" max="24" width="8.66666666666667" hidden="1" customWidth="1"/>
  </cols>
  <sheetData>
    <row r="1" ht="28" customHeight="1" spans="1:24">
      <c r="E1" s="2"/>
      <c r="F1" s="18" t="s">
        <v>59</v>
      </c>
      <c r="G1" s="18" t="s">
        <v>60</v>
      </c>
      <c r="H1" s="18" t="s">
        <v>61</v>
      </c>
      <c r="I1" s="18" t="s">
        <v>62</v>
      </c>
      <c r="J1" s="18" t="s">
        <v>63</v>
      </c>
      <c r="K1" s="18" t="s">
        <v>64</v>
      </c>
      <c r="L1" s="19" t="s">
        <v>65</v>
      </c>
      <c r="M1" s="18" t="s">
        <v>66</v>
      </c>
      <c r="N1" s="18" t="s">
        <v>67</v>
      </c>
      <c r="O1" s="20" t="s">
        <v>68</v>
      </c>
      <c r="P1" s="18" t="s">
        <v>69</v>
      </c>
      <c r="Q1" s="18" t="s">
        <v>70</v>
      </c>
      <c r="R1" s="18" t="s">
        <v>71</v>
      </c>
      <c r="S1" s="18">
        <v>140</v>
      </c>
    </row>
    <row r="2" ht="28" customHeight="1" spans="1:24">
      <c r="B2" s="5" t="s">
        <v>0</v>
      </c>
      <c r="C2" s="5" t="s">
        <v>1</v>
      </c>
      <c r="D2" s="21"/>
      <c r="E2" s="6" t="s">
        <v>2</v>
      </c>
      <c r="F2" s="56" t="s">
        <v>6</v>
      </c>
      <c r="G2" s="57" t="s">
        <v>7</v>
      </c>
      <c r="H2" s="58" t="s">
        <v>8</v>
      </c>
      <c r="I2" s="59" t="s">
        <v>9</v>
      </c>
      <c r="J2" s="59" t="s">
        <v>10</v>
      </c>
      <c r="K2" s="25" t="s">
        <v>11</v>
      </c>
      <c r="L2" s="60" t="s">
        <v>12</v>
      </c>
      <c r="M2" s="57" t="s">
        <v>72</v>
      </c>
      <c r="N2" s="57" t="s">
        <v>73</v>
      </c>
      <c r="O2" s="61" t="s">
        <v>74</v>
      </c>
      <c r="P2" s="57" t="s">
        <v>75</v>
      </c>
      <c r="Q2" s="57" t="s">
        <v>76</v>
      </c>
      <c r="R2" s="57" t="s">
        <v>77</v>
      </c>
      <c r="S2" s="57" t="s">
        <v>78</v>
      </c>
      <c r="T2" s="5" t="s">
        <v>13</v>
      </c>
      <c r="U2" s="5" t="s">
        <v>79</v>
      </c>
    </row>
    <row r="3" ht="28" customHeight="1" spans="1:24">
      <c r="B3" s="5"/>
      <c r="C3" s="5"/>
      <c r="D3" s="28" t="s">
        <v>80</v>
      </c>
      <c r="E3" s="12"/>
      <c r="F3" s="24" t="s">
        <v>14</v>
      </c>
      <c r="G3" s="25" t="s">
        <v>14</v>
      </c>
      <c r="H3" s="24" t="s">
        <v>14</v>
      </c>
      <c r="I3" s="25" t="s">
        <v>14</v>
      </c>
      <c r="J3" s="25" t="s">
        <v>14</v>
      </c>
      <c r="K3" s="25" t="s">
        <v>14</v>
      </c>
      <c r="L3" s="29" t="s">
        <v>15</v>
      </c>
      <c r="M3" s="25" t="s">
        <v>15</v>
      </c>
      <c r="N3" s="25" t="s">
        <v>15</v>
      </c>
      <c r="O3" s="30" t="s">
        <v>15</v>
      </c>
      <c r="P3" s="25" t="s">
        <v>15</v>
      </c>
      <c r="Q3" s="25" t="s">
        <v>15</v>
      </c>
      <c r="R3" s="25" t="s">
        <v>15</v>
      </c>
      <c r="S3" s="25" t="s">
        <v>15</v>
      </c>
      <c r="T3" s="5"/>
      <c r="U3" s="5"/>
    </row>
    <row r="4" ht="119" customHeight="1" spans="1:24">
      <c r="A4" s="31" t="str">
        <f>_xlfn.DISPIMG("ID_2F0048596F8E4857820991A7F3EA29DF",1)</f>
        <v>=DISPIMG("ID_2F0048596F8E4857820991A7F3EA29DF",1)</v>
      </c>
      <c r="B4" s="32" t="s">
        <v>81</v>
      </c>
      <c r="C4" s="33" t="s">
        <v>82</v>
      </c>
      <c r="D4" s="34" t="s">
        <v>83</v>
      </c>
      <c r="E4" s="14" t="s">
        <v>84</v>
      </c>
      <c r="F4" s="35"/>
      <c r="G4" s="36">
        <f>10+22</f>
        <v>32</v>
      </c>
      <c r="H4" s="36">
        <f>10+104</f>
        <v>114</v>
      </c>
      <c r="I4" s="36">
        <f>10+139</f>
        <v>149</v>
      </c>
      <c r="J4" s="36">
        <f>10+224</f>
        <v>234</v>
      </c>
      <c r="K4" s="36">
        <f>10+228</f>
        <v>238</v>
      </c>
      <c r="L4" s="36">
        <f>20+285</f>
        <v>305</v>
      </c>
      <c r="M4" s="36">
        <f>10+220</f>
        <v>230</v>
      </c>
      <c r="N4" s="36">
        <f>10+151</f>
        <v>161</v>
      </c>
      <c r="O4" s="36">
        <f>20+124</f>
        <v>144</v>
      </c>
      <c r="P4" s="37"/>
      <c r="Q4" s="37"/>
      <c r="R4" s="37"/>
      <c r="S4" s="37"/>
      <c r="T4" s="14">
        <f>SUM(G4:S4)</f>
        <v>1607</v>
      </c>
      <c r="U4" s="38" t="s">
        <v>54</v>
      </c>
      <c r="W4" s="39">
        <v>1497</v>
      </c>
      <c r="X4">
        <f>T4-W4</f>
        <v>110</v>
      </c>
    </row>
    <row r="5" ht="119" customHeight="1" spans="1:24">
      <c r="A5" s="31" t="str">
        <f>_xlfn.DISPIMG("ID_7FBFFDD8BF254268A6C2E45BB303E3F9",1)</f>
        <v>=DISPIMG("ID_7FBFFDD8BF254268A6C2E45BB303E3F9",1)</v>
      </c>
      <c r="B5" s="32" t="s">
        <v>85</v>
      </c>
      <c r="C5" s="33" t="s">
        <v>86</v>
      </c>
      <c r="D5" s="34" t="s">
        <v>83</v>
      </c>
      <c r="E5" s="14" t="s">
        <v>84</v>
      </c>
      <c r="F5" s="40"/>
      <c r="G5" s="40"/>
      <c r="H5" s="36">
        <f>10+43</f>
        <v>53</v>
      </c>
      <c r="I5" s="36">
        <f>10+57</f>
        <v>67</v>
      </c>
      <c r="J5" s="36">
        <f>10+89</f>
        <v>99</v>
      </c>
      <c r="K5" s="36">
        <f>10+101</f>
        <v>111</v>
      </c>
      <c r="L5" s="36">
        <f>20+136</f>
        <v>156</v>
      </c>
      <c r="M5" s="36">
        <f>10+101</f>
        <v>111</v>
      </c>
      <c r="N5" s="36">
        <f>10+67</f>
        <v>77</v>
      </c>
      <c r="O5" s="36">
        <f>2+54</f>
        <v>56</v>
      </c>
      <c r="P5" s="41"/>
      <c r="Q5" s="41"/>
      <c r="R5" s="41"/>
      <c r="S5" s="41"/>
      <c r="T5" s="14">
        <f>SUM(G5:S5)</f>
        <v>730</v>
      </c>
      <c r="U5" s="38" t="s">
        <v>87</v>
      </c>
      <c r="W5" s="39">
        <v>648</v>
      </c>
      <c r="X5">
        <f>T5-W5</f>
        <v>82</v>
      </c>
    </row>
    <row r="6" ht="119" customHeight="1" spans="1:24">
      <c r="A6" s="42" t="str">
        <f>_xlfn.DISPIMG("ID_4E5DEE8308B147359EAA96D8B5AC5628",1)</f>
        <v>=DISPIMG("ID_4E5DEE8308B147359EAA96D8B5AC5628",1)</v>
      </c>
      <c r="B6" s="32" t="s">
        <v>88</v>
      </c>
      <c r="C6" s="33" t="s">
        <v>89</v>
      </c>
      <c r="D6" s="34" t="s">
        <v>83</v>
      </c>
      <c r="E6" s="14" t="s">
        <v>84</v>
      </c>
      <c r="F6" s="40"/>
      <c r="G6" s="40"/>
      <c r="H6" s="36">
        <f>10+66</f>
        <v>76</v>
      </c>
      <c r="I6" s="36">
        <f>10+91</f>
        <v>101</v>
      </c>
      <c r="J6" s="36">
        <f>10+137</f>
        <v>147</v>
      </c>
      <c r="K6" s="36">
        <f>10+156</f>
        <v>166</v>
      </c>
      <c r="L6" s="36">
        <f>20+205</f>
        <v>225</v>
      </c>
      <c r="M6" s="36">
        <f>10+155</f>
        <v>165</v>
      </c>
      <c r="N6" s="36">
        <f>10+100</f>
        <v>110</v>
      </c>
      <c r="O6" s="36">
        <f>20+82</f>
        <v>102</v>
      </c>
      <c r="P6" s="41"/>
      <c r="Q6" s="41"/>
      <c r="R6" s="41"/>
      <c r="S6" s="41"/>
      <c r="T6" s="14">
        <f>SUM(G6:S6)</f>
        <v>1092</v>
      </c>
      <c r="U6" s="38" t="s">
        <v>90</v>
      </c>
      <c r="W6" s="39">
        <v>992</v>
      </c>
      <c r="X6">
        <f>T6-W6</f>
        <v>100</v>
      </c>
    </row>
    <row r="7" ht="39" customHeight="1" spans="1:24">
      <c r="E7" s="1"/>
      <c r="F7" s="1"/>
      <c r="T7" s="43">
        <f>SUM(T4:T6)</f>
        <v>3429</v>
      </c>
      <c r="U7" s="43"/>
    </row>
    <row r="8" spans="1:24">
      <c r="E8" s="1"/>
      <c r="F8" s="1"/>
    </row>
    <row r="9" spans="1:24">
      <c r="E9" s="1"/>
      <c r="F9" s="1"/>
    </row>
    <row r="10" spans="1:24">
      <c r="E10" s="1"/>
      <c r="F10" s="1"/>
    </row>
    <row r="11" spans="1:24">
      <c r="E11" s="1"/>
      <c r="F11" s="1"/>
    </row>
    <row r="12" spans="1:24">
      <c r="E12" s="1"/>
      <c r="F12" s="1"/>
    </row>
    <row r="13" spans="1:24">
      <c r="E13" s="1"/>
      <c r="F13" s="1"/>
    </row>
    <row r="14" spans="1:24">
      <c r="E14" s="1"/>
      <c r="F14" s="1"/>
    </row>
    <row r="15" spans="1:24">
      <c r="E15" s="1"/>
      <c r="F15" s="1"/>
    </row>
    <row r="16" spans="1:24">
      <c r="E16" s="1"/>
      <c r="F16" s="1"/>
    </row>
    <row r="17" spans="5:6">
      <c r="E17" s="1"/>
      <c r="F17" s="1"/>
    </row>
    <row r="18" spans="5:6">
      <c r="E18" s="1"/>
      <c r="F18" s="1"/>
    </row>
    <row r="19" spans="5:6">
      <c r="E19" s="1"/>
      <c r="F19" s="1"/>
    </row>
    <row r="20" spans="5:6">
      <c r="E20" s="1"/>
      <c r="F20" s="1"/>
    </row>
    <row r="21" spans="5:6">
      <c r="E21" s="1"/>
      <c r="F21" s="1"/>
    </row>
    <row r="22" spans="5:6">
      <c r="E22" s="1"/>
      <c r="F22" s="1"/>
    </row>
    <row r="23" spans="5:6">
      <c r="E23" s="1"/>
      <c r="F23" s="1"/>
    </row>
    <row r="24" spans="5:6">
      <c r="E24" s="1"/>
      <c r="F24" s="1"/>
    </row>
    <row r="25" spans="5:6">
      <c r="E25" s="1"/>
      <c r="F25" s="1"/>
    </row>
    <row r="26" spans="5:6">
      <c r="E26" s="1"/>
      <c r="F26" s="1"/>
    </row>
    <row r="27" spans="5:6">
      <c r="E27" s="1"/>
      <c r="F27" s="1"/>
    </row>
    <row r="28" spans="5:6">
      <c r="E28" s="1"/>
      <c r="F28" s="1"/>
    </row>
    <row r="29" spans="5:6">
      <c r="E29" s="1"/>
      <c r="F29" s="1"/>
    </row>
    <row r="30" spans="5:6">
      <c r="E30" s="1"/>
      <c r="F30" s="1"/>
    </row>
    <row r="31" spans="5:6">
      <c r="E31" s="1"/>
      <c r="F31" s="1"/>
    </row>
    <row r="32" spans="5:6">
      <c r="E32" s="1"/>
      <c r="F32" s="1"/>
    </row>
    <row r="33" spans="5:6">
      <c r="E33" s="1"/>
      <c r="F33" s="1"/>
    </row>
    <row r="34" spans="5:6">
      <c r="E34" s="1"/>
      <c r="F34" s="1"/>
    </row>
    <row r="35" spans="5:6">
      <c r="E35" s="1"/>
      <c r="F35" s="1"/>
    </row>
    <row r="36" spans="5:6">
      <c r="E36" s="1"/>
      <c r="F36" s="1"/>
    </row>
    <row r="37" spans="5:6">
      <c r="E37" s="1"/>
      <c r="F37" s="1"/>
    </row>
    <row r="38" spans="5:6">
      <c r="E38" s="1"/>
      <c r="F38" s="1"/>
    </row>
    <row r="39" spans="5:6">
      <c r="E39" s="1"/>
      <c r="F39" s="1"/>
    </row>
    <row r="40" spans="5:6">
      <c r="E40" s="1"/>
      <c r="F40" s="1"/>
    </row>
    <row r="41" spans="5:6">
      <c r="E41" s="1"/>
      <c r="F41" s="1"/>
    </row>
    <row r="42" spans="5:6">
      <c r="E42" s="1"/>
      <c r="F42" s="1"/>
    </row>
    <row r="43" spans="5:6">
      <c r="E43" s="1"/>
      <c r="F43" s="1"/>
    </row>
    <row r="44" spans="5:6">
      <c r="E44" s="1"/>
      <c r="F44" s="1"/>
    </row>
    <row r="45" spans="5:6">
      <c r="E45" s="1"/>
      <c r="F45" s="1"/>
    </row>
    <row r="46" spans="5:6">
      <c r="E46" s="1"/>
      <c r="F46" s="1"/>
    </row>
    <row r="47" spans="5:6">
      <c r="E47" s="1"/>
      <c r="F47" s="1"/>
    </row>
    <row r="48" spans="5:6">
      <c r="E48" s="1"/>
      <c r="F48" s="1"/>
    </row>
    <row r="49" spans="5:6">
      <c r="E49" s="1"/>
      <c r="F49" s="1"/>
    </row>
    <row r="50" spans="5:6">
      <c r="E50" s="1"/>
      <c r="F50" s="1"/>
    </row>
    <row r="51" spans="5:6">
      <c r="E51" s="1"/>
      <c r="F51" s="1"/>
    </row>
    <row r="52" spans="5:6">
      <c r="E52" s="1"/>
      <c r="F52" s="1"/>
    </row>
    <row r="53" spans="5:6">
      <c r="E53" s="1"/>
      <c r="F53" s="1"/>
    </row>
    <row r="54" spans="5:6">
      <c r="E54" s="1"/>
      <c r="F54" s="1"/>
    </row>
    <row r="55" spans="5:6">
      <c r="E55" s="1"/>
      <c r="F55" s="1"/>
    </row>
    <row r="56" spans="5:6">
      <c r="E56" s="1"/>
      <c r="F56" s="1"/>
    </row>
    <row r="57" spans="5:6">
      <c r="E57" s="1"/>
      <c r="F57" s="1"/>
    </row>
    <row r="58" spans="5:6">
      <c r="E58" s="1"/>
      <c r="F58" s="1"/>
    </row>
    <row r="59" spans="5:6">
      <c r="E59" s="1"/>
      <c r="F59" s="1"/>
    </row>
    <row r="60" spans="5:6">
      <c r="E60" s="1"/>
      <c r="F60" s="1"/>
    </row>
    <row r="61" spans="5:6">
      <c r="E61" s="1"/>
      <c r="F61" s="1"/>
    </row>
    <row r="62" spans="5:6">
      <c r="E62" s="1"/>
      <c r="F62" s="1"/>
    </row>
    <row r="63" spans="5:6">
      <c r="E63" s="1"/>
      <c r="F63" s="1"/>
    </row>
    <row r="64" spans="5:6">
      <c r="E64" s="1"/>
      <c r="F64" s="1"/>
    </row>
    <row r="65" spans="5:6">
      <c r="E65" s="1"/>
      <c r="F65" s="1"/>
    </row>
    <row r="66" spans="5:6">
      <c r="E66" s="1"/>
      <c r="F66" s="1"/>
    </row>
  </sheetData>
  <mergeCells count="5">
    <mergeCell ref="B2:B3"/>
    <mergeCell ref="C2:C3"/>
    <mergeCell ref="E2:E3"/>
    <mergeCell ref="T2:T3"/>
    <mergeCell ref="U2:U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1"/>
  <sheetViews>
    <sheetView zoomScale="70" zoomScaleNormal="70" topLeftCell="A6" workbookViewId="0">
      <selection activeCell="S10" sqref="S10"/>
    </sheetView>
  </sheetViews>
  <sheetFormatPr defaultColWidth="9" defaultRowHeight="14"/>
  <cols>
    <col min="1" max="1" width="15" customWidth="1"/>
    <col min="2" max="2" width="18.6833333333333" customWidth="1"/>
    <col min="3" max="3" width="18.0916666666667" style="1" customWidth="1"/>
    <col min="4" max="4" width="8.83333333333333" style="1" customWidth="1"/>
    <col min="5" max="5" width="9.41666666666667" customWidth="1"/>
    <col min="15" max="15" width="14.3916666666667" customWidth="1"/>
  </cols>
  <sheetData>
    <row r="2" spans="1:16">
      <c r="C2" s="2"/>
      <c r="D2" s="2">
        <v>2.3</v>
      </c>
      <c r="E2" s="3">
        <v>50</v>
      </c>
      <c r="F2" s="3">
        <v>56</v>
      </c>
      <c r="G2" s="4">
        <v>62</v>
      </c>
      <c r="H2" s="3">
        <v>68</v>
      </c>
      <c r="I2" s="4">
        <v>74</v>
      </c>
      <c r="J2" s="3">
        <v>80</v>
      </c>
      <c r="K2" s="3">
        <v>86</v>
      </c>
      <c r="L2" s="3">
        <v>92</v>
      </c>
      <c r="M2" s="3">
        <v>98</v>
      </c>
    </row>
    <row r="3" ht="18.5" customHeight="1" spans="1:16">
      <c r="A3" s="5" t="s">
        <v>0</v>
      </c>
      <c r="B3" s="5" t="s">
        <v>1</v>
      </c>
      <c r="C3" s="6" t="s">
        <v>91</v>
      </c>
      <c r="D3" s="7" t="s">
        <v>3</v>
      </c>
      <c r="E3" s="7" t="s">
        <v>4</v>
      </c>
      <c r="F3" s="7" t="s">
        <v>5</v>
      </c>
      <c r="G3" s="52" t="s">
        <v>6</v>
      </c>
      <c r="H3" s="53" t="s">
        <v>7</v>
      </c>
      <c r="I3" s="54" t="s">
        <v>8</v>
      </c>
      <c r="J3" s="55" t="s">
        <v>9</v>
      </c>
      <c r="K3" s="55" t="s">
        <v>10</v>
      </c>
      <c r="L3" s="7" t="s">
        <v>11</v>
      </c>
      <c r="M3" s="53" t="s">
        <v>12</v>
      </c>
      <c r="N3" s="5" t="s">
        <v>13</v>
      </c>
      <c r="O3" s="11"/>
    </row>
    <row r="4" ht="18.5" customHeight="1" spans="1:16">
      <c r="A4" s="5"/>
      <c r="B4" s="5"/>
      <c r="C4" s="12"/>
      <c r="D4" s="7" t="s">
        <v>14</v>
      </c>
      <c r="E4" s="7" t="s">
        <v>14</v>
      </c>
      <c r="F4" s="7" t="s">
        <v>14</v>
      </c>
      <c r="G4" s="10" t="s">
        <v>14</v>
      </c>
      <c r="H4" s="7" t="s">
        <v>14</v>
      </c>
      <c r="I4" s="10" t="s">
        <v>14</v>
      </c>
      <c r="J4" s="7" t="s">
        <v>14</v>
      </c>
      <c r="K4" s="7" t="s">
        <v>14</v>
      </c>
      <c r="L4" s="7" t="s">
        <v>14</v>
      </c>
      <c r="M4" s="7" t="s">
        <v>15</v>
      </c>
      <c r="N4" s="5"/>
      <c r="O4" s="11"/>
    </row>
    <row r="5" ht="57.5" customHeight="1" spans="1:16">
      <c r="A5" s="13" t="s">
        <v>92</v>
      </c>
      <c r="B5" s="13" t="s">
        <v>93</v>
      </c>
      <c r="C5" s="14" t="s">
        <v>19</v>
      </c>
      <c r="D5" s="13"/>
      <c r="E5" s="13">
        <v>220</v>
      </c>
      <c r="F5" s="13">
        <v>284</v>
      </c>
      <c r="G5" s="13">
        <v>419</v>
      </c>
      <c r="H5" s="13">
        <v>464</v>
      </c>
      <c r="I5" s="13">
        <v>369</v>
      </c>
      <c r="J5" s="13">
        <v>325</v>
      </c>
      <c r="K5" s="13">
        <v>269</v>
      </c>
      <c r="L5" s="13">
        <v>61</v>
      </c>
      <c r="M5" s="13"/>
      <c r="N5" s="14">
        <f t="shared" ref="N5:N8" si="0">SUM(E5:M5)</f>
        <v>2411</v>
      </c>
      <c r="O5" s="15" t="s">
        <v>54</v>
      </c>
      <c r="P5" s="16">
        <v>2411</v>
      </c>
    </row>
    <row r="6" ht="57.5" customHeight="1" spans="1:16">
      <c r="A6" s="13" t="s">
        <v>94</v>
      </c>
      <c r="B6" s="13" t="s">
        <v>95</v>
      </c>
      <c r="C6" s="14" t="s">
        <v>19</v>
      </c>
      <c r="D6" s="13"/>
      <c r="E6" s="13">
        <v>220</v>
      </c>
      <c r="F6" s="13">
        <v>279</v>
      </c>
      <c r="G6" s="13">
        <v>406</v>
      </c>
      <c r="H6" s="13">
        <v>442</v>
      </c>
      <c r="I6" s="13">
        <v>352</v>
      </c>
      <c r="J6" s="13">
        <v>311</v>
      </c>
      <c r="K6" s="13">
        <v>257</v>
      </c>
      <c r="L6" s="13">
        <v>54</v>
      </c>
      <c r="M6" s="13"/>
      <c r="N6" s="14">
        <f t="shared" si="0"/>
        <v>2321</v>
      </c>
      <c r="O6" s="15" t="s">
        <v>54</v>
      </c>
      <c r="P6" s="17">
        <v>2321</v>
      </c>
    </row>
    <row r="7" ht="57.5" customHeight="1" spans="1:16">
      <c r="A7" s="13" t="s">
        <v>96</v>
      </c>
      <c r="B7" s="13" t="s">
        <v>97</v>
      </c>
      <c r="C7" s="14" t="s">
        <v>19</v>
      </c>
      <c r="D7" s="13"/>
      <c r="E7" s="13">
        <v>42</v>
      </c>
      <c r="F7" s="13">
        <v>114</v>
      </c>
      <c r="G7" s="13">
        <v>208</v>
      </c>
      <c r="H7" s="13">
        <v>258</v>
      </c>
      <c r="I7" s="13">
        <v>235</v>
      </c>
      <c r="J7" s="13">
        <v>219</v>
      </c>
      <c r="K7" s="13">
        <v>185</v>
      </c>
      <c r="L7" s="13">
        <v>51</v>
      </c>
      <c r="M7" s="13"/>
      <c r="N7" s="14">
        <f t="shared" si="0"/>
        <v>1312</v>
      </c>
      <c r="O7" s="15" t="s">
        <v>54</v>
      </c>
      <c r="P7" s="17">
        <v>1312</v>
      </c>
    </row>
    <row r="8" ht="57.5" customHeight="1" spans="1:16">
      <c r="A8" s="13" t="s">
        <v>98</v>
      </c>
      <c r="B8" s="13" t="s">
        <v>99</v>
      </c>
      <c r="C8" s="14" t="s">
        <v>19</v>
      </c>
      <c r="D8" s="13"/>
      <c r="E8" s="13">
        <v>96</v>
      </c>
      <c r="F8" s="13">
        <v>178</v>
      </c>
      <c r="G8" s="13">
        <v>323</v>
      </c>
      <c r="H8" s="13">
        <v>304</v>
      </c>
      <c r="I8" s="13">
        <v>204</v>
      </c>
      <c r="J8" s="13">
        <v>153</v>
      </c>
      <c r="K8" s="13">
        <v>21</v>
      </c>
      <c r="L8" s="13"/>
      <c r="M8" s="13"/>
      <c r="N8" s="14">
        <f t="shared" si="0"/>
        <v>1279</v>
      </c>
      <c r="O8" s="15" t="s">
        <v>54</v>
      </c>
      <c r="P8" s="17">
        <v>1279</v>
      </c>
    </row>
    <row r="9" ht="57.5" customHeight="1" spans="1:16">
      <c r="A9" s="13" t="s">
        <v>100</v>
      </c>
      <c r="B9" s="13" t="s">
        <v>101</v>
      </c>
      <c r="C9" s="14" t="s">
        <v>102</v>
      </c>
      <c r="D9" s="13"/>
      <c r="E9" s="13">
        <v>91</v>
      </c>
      <c r="F9" s="13">
        <v>247</v>
      </c>
      <c r="G9" s="13">
        <v>393</v>
      </c>
      <c r="H9" s="13">
        <v>355</v>
      </c>
      <c r="I9" s="13">
        <v>231</v>
      </c>
      <c r="J9" s="13">
        <v>145</v>
      </c>
      <c r="K9" s="13">
        <v>45</v>
      </c>
      <c r="L9" s="13"/>
      <c r="M9" s="13"/>
      <c r="N9" s="14">
        <f t="shared" ref="N9:N11" si="1">SUM(D9:M9)</f>
        <v>1507</v>
      </c>
      <c r="O9" s="15" t="s">
        <v>54</v>
      </c>
      <c r="P9" s="17">
        <v>1507</v>
      </c>
    </row>
    <row r="10" ht="57.5" customHeight="1" spans="1:16">
      <c r="A10" s="13" t="s">
        <v>103</v>
      </c>
      <c r="B10" s="13" t="s">
        <v>101</v>
      </c>
      <c r="C10" s="14"/>
      <c r="D10" s="13"/>
      <c r="E10" s="13">
        <v>89</v>
      </c>
      <c r="F10" s="13">
        <v>179</v>
      </c>
      <c r="G10" s="13">
        <v>313</v>
      </c>
      <c r="H10" s="13">
        <v>400</v>
      </c>
      <c r="I10" s="13">
        <v>337</v>
      </c>
      <c r="J10" s="13">
        <v>234</v>
      </c>
      <c r="K10" s="13">
        <v>174</v>
      </c>
      <c r="L10" s="13">
        <v>84</v>
      </c>
      <c r="M10" s="13">
        <v>49</v>
      </c>
      <c r="N10" s="14">
        <f t="shared" si="1"/>
        <v>1859</v>
      </c>
      <c r="O10" s="15" t="s">
        <v>20</v>
      </c>
      <c r="P10" s="17">
        <v>1859</v>
      </c>
    </row>
    <row r="11" ht="57.5" customHeight="1" spans="1:16">
      <c r="A11" s="13" t="s">
        <v>104</v>
      </c>
      <c r="B11" s="13" t="s">
        <v>105</v>
      </c>
      <c r="C11" s="14" t="s">
        <v>19</v>
      </c>
      <c r="D11" s="13"/>
      <c r="E11" s="13">
        <v>79</v>
      </c>
      <c r="F11" s="13">
        <v>96</v>
      </c>
      <c r="G11" s="13">
        <v>222</v>
      </c>
      <c r="H11" s="13">
        <v>272</v>
      </c>
      <c r="I11" s="13">
        <v>243</v>
      </c>
      <c r="J11" s="13">
        <v>178</v>
      </c>
      <c r="K11" s="13">
        <v>130</v>
      </c>
      <c r="L11" s="13">
        <v>66</v>
      </c>
      <c r="M11" s="13">
        <v>46</v>
      </c>
      <c r="N11" s="14">
        <f t="shared" si="1"/>
        <v>1332</v>
      </c>
      <c r="O11" s="15" t="s">
        <v>20</v>
      </c>
      <c r="P11" s="17">
        <v>1332</v>
      </c>
    </row>
  </sheetData>
  <mergeCells count="4">
    <mergeCell ref="A3:A4"/>
    <mergeCell ref="B3:B4"/>
    <mergeCell ref="C3:C4"/>
    <mergeCell ref="N3:N4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made with love转印标</vt:lpstr>
      <vt:lpstr>made the FUTURE today</vt:lpstr>
      <vt:lpstr>made with love转印标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茗茗是茶</cp:lastModifiedBy>
  <dcterms:created xsi:type="dcterms:W3CDTF">2015-06-05T18:17:00Z</dcterms:created>
  <cp:lastPrinted>2022-05-04T06:44:00Z</cp:lastPrinted>
  <dcterms:modified xsi:type="dcterms:W3CDTF">2026-04-03T02:43:41Z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