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5月Emily" sheetId="27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'5月Emily'!$A$1:$J$79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<sst xmlns="http://schemas.openxmlformats.org/spreadsheetml/2006/main" count="706" uniqueCount="230">
  <si>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</si>
  <si>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</si>
  <si>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</si>
  <si>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</si>
  <si>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</si>
  <si>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</si>
  <si>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</si>
  <si>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</si>
  <si>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</si>
  <si>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</si>
  <si>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</si>
  <si>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</si>
  <si>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</si>
  <si>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</si>
  <si>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</si>
  <si>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</si>
  <si>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</si>
  <si>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</si>
  <si>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</si>
  <si>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</si>
  <si>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</si>
  <si>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</si>
  <si>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</si>
  <si>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</si>
  <si>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</si>
  <si>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</si>
  <si>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</si>
  <si>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</si>
  <si>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</si>
  <si>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</si>
  <si>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</si>
  <si>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</si>
  <si>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</si>
  <si>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</si>
  <si>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</si>
  <si>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</si>
  <si>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</si>
  <si>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</si>
  <si>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</si>
  <si>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</si>
  <si>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</si>
  <si>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</si>
  <si>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</si>
  <si>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</si>
  <si>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</si>
  <si>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</si>
  <si>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</si>
  <si>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</si>
  <si>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</si>
  <si>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</si>
  <si>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</si>
  <si>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</si>
  <si>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</si>
  <si>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</si>
  <si>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</si>
  <si>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</si>
  <si>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</si>
  <si>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</si>
  <si>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</si>
  <si>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</si>
  <si>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</si>
  <si>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</si>
  <si>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</si>
  <si>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</si>
  <si>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</si>
  <si>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</si>
  <si>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</si>
  <si>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</si>
  <si>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</si>
  <si>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</si>
  <si>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</si>
  <si>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</si>
  <si>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</si>
  <si>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</si>
  <si>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</si>
  <si>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</si>
  <si>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</si>
  <si>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</si>
  <si>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</si>
  <si>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</si>
  <si>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</si>
  <si>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</si>
  <si>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</si>
  <si>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</si>
  <si>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</si>
  <si>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</si>
  <si>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</si>
  <si>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</si>
  <si>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</si>
  <si>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</si>
  <si>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</si>
  <si>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</si>
  <si>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</si>
  <si>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</si>
  <si>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</si>
  <si>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</si>
  <si>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</si>
  <si>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</si>
  <si>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</si>
  <si>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</si>
  <si>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</si>
  <si>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</si>
  <si>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</si>
  <si>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</si>
  <si>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</si>
  <si>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</si>
  <si>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</si>
  <si>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</si>
  <si>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</si>
  <si>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</si>
  <si>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</si>
  <si>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</si>
  <si>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</si>
  <si>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</si>
  <si>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</si>
  <si>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</si>
  <si>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</si>
  <si>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差</t>
  </si>
  <si>
    <t>正数为少的金额，负数为多的金额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</si>
  <si>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</si>
  <si>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</si>
  <si>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</si>
  <si>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</si>
  <si>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</si>
  <si>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</si>
  <si>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77236
77237
77238
77341</t>
  </si>
  <si>
    <t>RBSKNJTD023</t>
  </si>
  <si>
    <t>SUNDAY 5420-046-401/700
CHINA 男士裤子</t>
  </si>
  <si>
    <t>2025.4.20</t>
  </si>
  <si>
    <t>2025.5.5</t>
  </si>
  <si>
    <t>白色吊牌HPBCRFI001-60*95mm-RFID LOGO（+1%）</t>
  </si>
  <si>
    <t>2025.5.16</t>
  </si>
  <si>
    <t>白色缎带洗标CLBCGEN003*4页-60*25mm</t>
  </si>
  <si>
    <t>白色RFID织标WLBCRFI015-65*19mm</t>
  </si>
  <si>
    <t>白色RFID织标WLBCRFI015-65*19mm-免费损耗1%</t>
  </si>
  <si>
    <t>白色RFID织标WLBCRFI015-65*19mm-大货样</t>
  </si>
  <si>
    <t>白色织标WLBCGEN020(06B）-85*20mm</t>
  </si>
  <si>
    <t>77271
77276
77277
77278
77279
77280
77281
77340</t>
  </si>
  <si>
    <t>RBSKNJTD025</t>
  </si>
  <si>
    <t>MISO 5419-046-600/800
BANGLADESH 男下装 裤子</t>
  </si>
  <si>
    <t>2025.4.17</t>
  </si>
  <si>
    <t>2025.5.22</t>
  </si>
  <si>
    <t>2025.5.14</t>
  </si>
  <si>
    <t>77253
77468</t>
  </si>
  <si>
    <t>RBSKNJTD026</t>
  </si>
  <si>
    <t>MISO 6776-046-600/800
BANGLADESH 男上装 夹克 加单</t>
  </si>
  <si>
    <t>77916
77915
76619
76934
76935
79905</t>
  </si>
  <si>
    <t>RBSKNJTD029</t>
  </si>
  <si>
    <t>MISO 6776-046-800
BANGLADESH 男上装 夹克 翻单2</t>
  </si>
  <si>
    <t>2025.4.18</t>
  </si>
  <si>
    <t>RBSKNJTD034</t>
  </si>
  <si>
    <t>MISO 6776-046
BANGLADESH 男上装 夹克 加单3</t>
  </si>
  <si>
    <t>2025.4.17
2025.4.23</t>
  </si>
  <si>
    <t>油性拷贝纸-14.8*21cm-21g BKOTH25002</t>
  </si>
  <si>
    <t>RBSKNJTD035</t>
  </si>
  <si>
    <t>MISO 5419-046
BANGLADESH 男下装 裤子 翻单1</t>
  </si>
  <si>
    <t>纸板-37*35cm-300g BKOTH25004</t>
  </si>
  <si>
    <t>普通拷贝纸-75*100cm-BKOTH25005</t>
  </si>
  <si>
    <t>RBSKNJTD036</t>
  </si>
  <si>
    <t>MISO 5419-046-600/800
BANGLADESH 男下装 裤子 补单</t>
  </si>
  <si>
    <t>RBSKNJTD037</t>
  </si>
  <si>
    <t>SUNDAY 5420-046
CHINA 男士裤子 翻单1</t>
  </si>
  <si>
    <t>2025.4.22</t>
  </si>
  <si>
    <t>油性拷贝纸-21*29.7cm 21g BKOTH25007</t>
  </si>
  <si>
    <t>78636
78989</t>
  </si>
  <si>
    <t>RBSKNJTD038</t>
  </si>
  <si>
    <t>NOBIS 6793-046-800
BANGLADESH 男外套</t>
  </si>
  <si>
    <t>黑色织标WLBCRFI006-51*51mm-RFID</t>
  </si>
  <si>
    <t>黑色织标WLBCRFI006-51*51mm-免费损耗1%</t>
  </si>
  <si>
    <t>黑色织标WLBCRFI006-51*51mm-大货样</t>
  </si>
  <si>
    <t>白色缎带洗标CLBCGEN003*4页-60*25mm（+1%）</t>
  </si>
  <si>
    <t>黑色 吊绳 MRBCGEN004-320*1.5mm</t>
  </si>
  <si>
    <t>白色吊牌HPBCGEN001-60*95mm-ZALA（+1%）</t>
  </si>
  <si>
    <t>纸板-34*54cm-300g BKOTH25009</t>
  </si>
  <si>
    <t>78988
79595
79596</t>
  </si>
  <si>
    <t>RBSKNJTD041</t>
  </si>
  <si>
    <t>NOBIS 6793-046-800
BANGLADESH 男外套 翻单1</t>
  </si>
  <si>
    <t>2025.5.15</t>
  </si>
  <si>
    <t>77236
77341</t>
  </si>
  <si>
    <t>RBSKNJTD043</t>
  </si>
  <si>
    <t>SUNDAY 5420-046-401/700
CHINA 男士裤子 补单</t>
  </si>
  <si>
    <t>2025.5.10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</si>
  <si>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</si>
  <si>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</si>
  <si>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</si>
  <si>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</si>
  <si>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</si>
  <si>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</si>
  <si>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</si>
  <si>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</si>
  <si>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</si>
  <si>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</si>
  <si>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</si>
  <si>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</si>
  <si>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</si>
  <si>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</si>
  <si>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</si>
  <si>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</si>
  <si>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主标</t>
  </si>
  <si>
    <t>按客户要求开</t>
  </si>
  <si>
    <t>千克</t>
  </si>
  <si>
    <t>洗标</t>
  </si>
  <si>
    <t>吊牌</t>
  </si>
  <si>
    <t>拷贝纸</t>
  </si>
  <si>
    <t>纸板</t>
  </si>
  <si>
    <t>吊绳</t>
  </si>
  <si>
    <t>Emily
吊绳单独放</t>
  </si>
  <si>
    <t>miranda</t>
  </si>
  <si>
    <t>RBSKNJTD012</t>
  </si>
  <si>
    <t>1003-409、415、416、051</t>
  </si>
  <si>
    <t>2024.12.21</t>
  </si>
  <si>
    <t>纸板-24.5cm*34.5cm-300gBKOTH24007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</si>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</sst>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80" fontId="8" fillId="4" borderId="1" xfId="0" applyNumberFormat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58" fontId="13" fillId="4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58" fontId="13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58" fontId="13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58" fontId="13" fillId="4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58" fontId="13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58" fontId="13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58" fontId="13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79" fontId="18" fillId="0" borderId="0" xfId="0" applyNumberFormat="1" applyFont="1">
      <alignment vertical="center"/>
    </xf>
    <xf numFmtId="8" fontId="15" fillId="4" borderId="9" xfId="0" applyNumberFormat="1" applyFont="1" applyFill="1" applyBorder="1" applyAlignment="1">
      <alignment horizontal="center" vertical="center" wrapText="1"/>
    </xf>
    <xf numFmtId="8" fontId="15" fillId="4" borderId="10" xfId="0" applyNumberFormat="1" applyFont="1" applyFill="1" applyBorder="1" applyAlignment="1">
      <alignment horizontal="center" vertical="center" wrapText="1"/>
    </xf>
    <xf numFmtId="8" fontId="15" fillId="4" borderId="10" xfId="0" applyNumberFormat="1" applyFont="1" applyFill="1" applyBorder="1" applyAlignment="1">
      <alignment horizontal="center" vertical="center" wrapText="1"/>
    </xf>
    <xf numFmtId="8" fontId="15" fillId="4" borderId="11" xfId="0" applyNumberFormat="1" applyFont="1" applyFill="1" applyBorder="1" applyAlignment="1">
      <alignment horizontal="center" vertical="center" wrapText="1"/>
    </xf>
    <xf numFmtId="8" fontId="15" fillId="3" borderId="9" xfId="0" applyNumberFormat="1" applyFont="1" applyFill="1" applyBorder="1" applyAlignment="1">
      <alignment horizontal="center" vertical="center" wrapText="1"/>
    </xf>
    <xf numFmtId="8" fontId="15" fillId="3" borderId="10" xfId="0" applyNumberFormat="1" applyFont="1" applyFill="1" applyBorder="1" applyAlignment="1">
      <alignment horizontal="center" vertical="center" wrapText="1"/>
    </xf>
    <xf numFmtId="8" fontId="15" fillId="3" borderId="10" xfId="0" applyNumberFormat="1" applyFont="1" applyFill="1" applyBorder="1" applyAlignment="1">
      <alignment horizontal="center" vertical="center" wrapText="1"/>
    </xf>
    <xf numFmtId="8" fontId="15" fillId="3" borderId="1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35">
        <v>45439</v>
      </c>
      <c r="B3" s="14" t="s">
        <v>15</v>
      </c>
      <c r="C3" s="136">
        <v>54401</v>
      </c>
      <c r="D3" s="137" t="s">
        <v>16</v>
      </c>
      <c r="E3" s="136" t="s">
        <v>17</v>
      </c>
      <c r="F3" s="136" t="s">
        <v>18</v>
      </c>
      <c r="G3" s="138">
        <v>10500</v>
      </c>
      <c r="H3" s="138">
        <f>G3-I3</f>
        <v>500</v>
      </c>
      <c r="I3" s="136">
        <v>10000</v>
      </c>
      <c r="J3" s="19">
        <v>0.368</v>
      </c>
      <c r="K3" s="145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35"/>
      <c r="B4" s="14"/>
      <c r="C4" s="136"/>
      <c r="D4" s="137"/>
      <c r="E4" s="136"/>
      <c r="F4" s="139">
        <v>45476</v>
      </c>
      <c r="G4" s="138">
        <v>11582</v>
      </c>
      <c r="H4" s="138">
        <f t="shared" ref="H4:H40" si="0">G4-I4</f>
        <v>554</v>
      </c>
      <c r="I4" s="136">
        <v>11028</v>
      </c>
      <c r="J4" s="19">
        <v>0.368</v>
      </c>
      <c r="K4" s="145">
        <f t="shared" ref="K4:K40" si="1">I4*J4</f>
        <v>4058.304</v>
      </c>
      <c r="L4" s="146"/>
      <c r="M4" s="19"/>
      <c r="N4" s="19"/>
      <c r="O4" s="19"/>
    </row>
    <row r="5" ht="16.5" spans="1:15">
      <c r="A5" s="135"/>
      <c r="B5" s="14"/>
      <c r="C5" s="136"/>
      <c r="D5" s="137"/>
      <c r="E5" s="136"/>
      <c r="F5" s="136" t="s">
        <v>18</v>
      </c>
      <c r="G5" s="138">
        <v>10500</v>
      </c>
      <c r="H5" s="138">
        <f t="shared" si="0"/>
        <v>500</v>
      </c>
      <c r="I5" s="136">
        <v>10000</v>
      </c>
      <c r="J5" s="14">
        <f>0.042*8</f>
        <v>0.336</v>
      </c>
      <c r="K5" s="145">
        <f t="shared" si="1"/>
        <v>3360</v>
      </c>
      <c r="L5" s="145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35"/>
      <c r="B6" s="14"/>
      <c r="C6" s="136"/>
      <c r="D6" s="137"/>
      <c r="E6" s="136"/>
      <c r="F6" s="139">
        <v>45476</v>
      </c>
      <c r="G6" s="138">
        <v>11583</v>
      </c>
      <c r="H6" s="138">
        <f t="shared" si="0"/>
        <v>555</v>
      </c>
      <c r="I6" s="136">
        <v>11028</v>
      </c>
      <c r="J6" s="14">
        <f>0.042*8</f>
        <v>0.336</v>
      </c>
      <c r="K6" s="145">
        <f t="shared" si="1"/>
        <v>3705.408</v>
      </c>
      <c r="L6" s="147"/>
      <c r="M6" s="19"/>
      <c r="N6" s="19"/>
      <c r="O6" s="19"/>
    </row>
    <row r="7" ht="16" customHeight="1" spans="1:15">
      <c r="A7" s="135"/>
      <c r="B7" s="14"/>
      <c r="C7" s="136"/>
      <c r="D7" s="137"/>
      <c r="E7" s="136"/>
      <c r="F7" s="139">
        <v>45476</v>
      </c>
      <c r="G7" s="138">
        <v>22079.4</v>
      </c>
      <c r="H7" s="138">
        <f t="shared" si="0"/>
        <v>1051.4</v>
      </c>
      <c r="I7" s="136">
        <v>21028</v>
      </c>
      <c r="J7" s="19">
        <v>0.294</v>
      </c>
      <c r="K7" s="145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35"/>
      <c r="B8" s="14"/>
      <c r="C8" s="136"/>
      <c r="D8" s="137"/>
      <c r="E8" s="136"/>
      <c r="F8" s="139">
        <v>45476</v>
      </c>
      <c r="G8" s="138">
        <v>22079.4</v>
      </c>
      <c r="H8" s="138">
        <f t="shared" si="0"/>
        <v>1051.4</v>
      </c>
      <c r="I8" s="136">
        <v>21028</v>
      </c>
      <c r="J8" s="19">
        <v>0.116</v>
      </c>
      <c r="K8" s="145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35">
        <v>45439</v>
      </c>
      <c r="B9" s="14" t="s">
        <v>15</v>
      </c>
      <c r="C9" s="136">
        <v>54404</v>
      </c>
      <c r="D9" s="137" t="s">
        <v>23</v>
      </c>
      <c r="E9" s="136" t="s">
        <v>24</v>
      </c>
      <c r="F9" s="139">
        <v>45470</v>
      </c>
      <c r="G9" s="138">
        <f>I9*1.05</f>
        <v>31500</v>
      </c>
      <c r="H9" s="138">
        <f t="shared" si="0"/>
        <v>1500</v>
      </c>
      <c r="I9" s="136">
        <v>30000</v>
      </c>
      <c r="J9" s="19">
        <v>0.368</v>
      </c>
      <c r="K9" s="145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35"/>
      <c r="B10" s="14"/>
      <c r="C10" s="136"/>
      <c r="D10" s="137"/>
      <c r="E10" s="136"/>
      <c r="F10" s="139">
        <v>45476</v>
      </c>
      <c r="G10" s="138">
        <v>1605</v>
      </c>
      <c r="H10" s="138">
        <f t="shared" si="0"/>
        <v>79</v>
      </c>
      <c r="I10" s="136">
        <v>1526</v>
      </c>
      <c r="J10" s="19">
        <v>0.368</v>
      </c>
      <c r="K10" s="145">
        <f t="shared" si="1"/>
        <v>561.568</v>
      </c>
      <c r="L10" s="146"/>
      <c r="M10" s="19"/>
      <c r="N10" s="14"/>
      <c r="O10" s="19"/>
    </row>
    <row r="11" ht="16.5" spans="1:15">
      <c r="A11" s="135"/>
      <c r="B11" s="14"/>
      <c r="C11" s="136"/>
      <c r="D11" s="137"/>
      <c r="E11" s="136"/>
      <c r="F11" s="139">
        <v>45470</v>
      </c>
      <c r="G11" s="138">
        <f t="shared" ref="G10:G32" si="2">I11*1.05</f>
        <v>31500</v>
      </c>
      <c r="H11" s="138">
        <f t="shared" si="0"/>
        <v>1500</v>
      </c>
      <c r="I11" s="136">
        <v>30000</v>
      </c>
      <c r="J11" s="14">
        <f>0.042*6</f>
        <v>0.252</v>
      </c>
      <c r="K11" s="145">
        <f t="shared" si="1"/>
        <v>7560</v>
      </c>
      <c r="L11" s="145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35"/>
      <c r="B12" s="14"/>
      <c r="C12" s="136"/>
      <c r="D12" s="137"/>
      <c r="E12" s="136"/>
      <c r="F12" s="139">
        <v>45476</v>
      </c>
      <c r="G12" s="138">
        <v>1607</v>
      </c>
      <c r="H12" s="138">
        <f t="shared" si="0"/>
        <v>81</v>
      </c>
      <c r="I12" s="136">
        <v>1526</v>
      </c>
      <c r="J12" s="14">
        <f>0.042*6</f>
        <v>0.252</v>
      </c>
      <c r="K12" s="145">
        <f t="shared" si="1"/>
        <v>384.552</v>
      </c>
      <c r="L12" s="147"/>
      <c r="M12" s="19"/>
      <c r="N12" s="19"/>
      <c r="O12" s="19"/>
    </row>
    <row r="13" ht="16" customHeight="1" spans="1:15">
      <c r="A13" s="135"/>
      <c r="B13" s="14"/>
      <c r="C13" s="136"/>
      <c r="D13" s="137"/>
      <c r="E13" s="136"/>
      <c r="F13" s="139">
        <v>45476</v>
      </c>
      <c r="G13" s="138">
        <v>33102</v>
      </c>
      <c r="H13" s="138">
        <f t="shared" si="0"/>
        <v>1576</v>
      </c>
      <c r="I13" s="136">
        <v>31526</v>
      </c>
      <c r="J13" s="19">
        <v>0.294</v>
      </c>
      <c r="K13" s="145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35"/>
      <c r="B14" s="14"/>
      <c r="C14" s="136"/>
      <c r="D14" s="137"/>
      <c r="E14" s="136"/>
      <c r="F14" s="139">
        <v>45476</v>
      </c>
      <c r="G14" s="138">
        <v>33102</v>
      </c>
      <c r="H14" s="138">
        <f t="shared" si="0"/>
        <v>1576</v>
      </c>
      <c r="I14" s="136">
        <v>31526</v>
      </c>
      <c r="J14" s="19">
        <v>0.116</v>
      </c>
      <c r="K14" s="145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35">
        <v>45477</v>
      </c>
      <c r="B15" s="14" t="s">
        <v>26</v>
      </c>
      <c r="C15" s="136">
        <v>58394</v>
      </c>
      <c r="D15" s="137" t="s">
        <v>27</v>
      </c>
      <c r="E15" s="136" t="s">
        <v>28</v>
      </c>
      <c r="F15" s="139">
        <v>45484</v>
      </c>
      <c r="G15" s="138">
        <f t="shared" si="2"/>
        <v>771.75</v>
      </c>
      <c r="H15" s="138">
        <f t="shared" si="0"/>
        <v>36.75</v>
      </c>
      <c r="I15" s="136">
        <v>735</v>
      </c>
      <c r="J15" s="19">
        <v>0.254</v>
      </c>
      <c r="K15" s="145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35"/>
      <c r="B16" s="14"/>
      <c r="C16" s="136"/>
      <c r="D16" s="137"/>
      <c r="E16" s="136"/>
      <c r="F16" s="139">
        <v>45484</v>
      </c>
      <c r="G16" s="138">
        <f t="shared" si="2"/>
        <v>771.75</v>
      </c>
      <c r="H16" s="138">
        <f t="shared" si="0"/>
        <v>36.75</v>
      </c>
      <c r="I16" s="136">
        <v>735</v>
      </c>
      <c r="J16" s="19">
        <v>0.15</v>
      </c>
      <c r="K16" s="145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35"/>
      <c r="B17" s="14"/>
      <c r="C17" s="136"/>
      <c r="D17" s="137"/>
      <c r="E17" s="136"/>
      <c r="F17" s="139">
        <v>45484</v>
      </c>
      <c r="G17" s="138">
        <v>2200</v>
      </c>
      <c r="H17" s="138">
        <f t="shared" si="0"/>
        <v>100</v>
      </c>
      <c r="I17" s="136">
        <v>2100</v>
      </c>
      <c r="J17" s="19">
        <v>0.12</v>
      </c>
      <c r="K17" s="145">
        <f t="shared" si="1"/>
        <v>252</v>
      </c>
      <c r="L17" s="145" t="s">
        <v>31</v>
      </c>
      <c r="M17" s="19"/>
      <c r="N17" s="19"/>
      <c r="O17" s="19"/>
    </row>
    <row r="18" ht="32" customHeight="1" spans="1:15">
      <c r="A18" s="135"/>
      <c r="B18" s="14"/>
      <c r="C18" s="136"/>
      <c r="D18" s="137"/>
      <c r="E18" s="136"/>
      <c r="F18" s="139">
        <v>45485</v>
      </c>
      <c r="G18" s="138">
        <v>30500</v>
      </c>
      <c r="H18" s="138">
        <f t="shared" si="0"/>
        <v>8</v>
      </c>
      <c r="I18" s="136">
        <v>30492</v>
      </c>
      <c r="J18" s="19">
        <v>0.12</v>
      </c>
      <c r="K18" s="145">
        <f t="shared" si="1"/>
        <v>3659.04</v>
      </c>
      <c r="L18" s="147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40">
        <v>45484</v>
      </c>
      <c r="G19" s="138">
        <v>561</v>
      </c>
      <c r="H19" s="138">
        <f t="shared" si="0"/>
        <v>26</v>
      </c>
      <c r="I19" s="12">
        <v>535</v>
      </c>
      <c r="J19" s="19">
        <v>0.254</v>
      </c>
      <c r="K19" s="145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40">
        <v>45484</v>
      </c>
      <c r="G20" s="138">
        <v>561</v>
      </c>
      <c r="H20" s="138">
        <f t="shared" si="0"/>
        <v>26</v>
      </c>
      <c r="I20" s="12">
        <v>535</v>
      </c>
      <c r="J20" s="19">
        <v>0.15</v>
      </c>
      <c r="K20" s="145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35">
        <v>45483</v>
      </c>
      <c r="B21" s="14" t="s">
        <v>26</v>
      </c>
      <c r="C21" s="136" t="s">
        <v>34</v>
      </c>
      <c r="D21" s="137" t="s">
        <v>35</v>
      </c>
      <c r="E21" s="136" t="s">
        <v>36</v>
      </c>
      <c r="F21" s="139">
        <v>45491</v>
      </c>
      <c r="G21" s="138">
        <f t="shared" si="2"/>
        <v>25213.65</v>
      </c>
      <c r="H21" s="138">
        <f t="shared" si="0"/>
        <v>1200.65</v>
      </c>
      <c r="I21" s="12">
        <v>24013</v>
      </c>
      <c r="J21" s="19">
        <v>0.368</v>
      </c>
      <c r="K21" s="145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35"/>
      <c r="B22" s="14"/>
      <c r="C22" s="136"/>
      <c r="D22" s="137"/>
      <c r="E22" s="136"/>
      <c r="F22" s="139">
        <v>45491</v>
      </c>
      <c r="G22" s="138">
        <f t="shared" si="2"/>
        <v>25213.65</v>
      </c>
      <c r="H22" s="138">
        <f t="shared" si="0"/>
        <v>1200.65</v>
      </c>
      <c r="I22" s="12">
        <v>24013</v>
      </c>
      <c r="J22" s="14">
        <f>0.042*7</f>
        <v>0.294</v>
      </c>
      <c r="K22" s="145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35"/>
      <c r="B23" s="14"/>
      <c r="C23" s="136"/>
      <c r="D23" s="137"/>
      <c r="E23" s="136"/>
      <c r="F23" s="139">
        <v>45491</v>
      </c>
      <c r="G23" s="138">
        <f t="shared" si="2"/>
        <v>25213.65</v>
      </c>
      <c r="H23" s="138">
        <f t="shared" si="0"/>
        <v>1200.65</v>
      </c>
      <c r="I23" s="12">
        <v>24013</v>
      </c>
      <c r="J23" s="19">
        <v>0.294</v>
      </c>
      <c r="K23" s="145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35"/>
      <c r="B24" s="14"/>
      <c r="C24" s="136"/>
      <c r="D24" s="137"/>
      <c r="E24" s="136"/>
      <c r="F24" s="139">
        <v>45491</v>
      </c>
      <c r="G24" s="138">
        <f t="shared" si="2"/>
        <v>25213.65</v>
      </c>
      <c r="H24" s="138">
        <f t="shared" si="0"/>
        <v>1200.65</v>
      </c>
      <c r="I24" s="12">
        <v>24013</v>
      </c>
      <c r="J24" s="19">
        <v>0.116</v>
      </c>
      <c r="K24" s="145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35">
        <v>45492</v>
      </c>
      <c r="B25" s="14" t="s">
        <v>39</v>
      </c>
      <c r="C25" s="136" t="s">
        <v>40</v>
      </c>
      <c r="D25" s="137" t="s">
        <v>41</v>
      </c>
      <c r="E25" s="136" t="s">
        <v>42</v>
      </c>
      <c r="F25" s="139">
        <v>45503</v>
      </c>
      <c r="G25" s="138">
        <f t="shared" si="2"/>
        <v>10500</v>
      </c>
      <c r="H25" s="138">
        <f t="shared" si="0"/>
        <v>500</v>
      </c>
      <c r="I25" s="12">
        <v>10000</v>
      </c>
      <c r="J25" s="19">
        <v>0.368</v>
      </c>
      <c r="K25" s="145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35"/>
      <c r="B26" s="14"/>
      <c r="C26" s="136"/>
      <c r="D26" s="137"/>
      <c r="E26" s="136"/>
      <c r="F26" s="139">
        <v>45503</v>
      </c>
      <c r="G26" s="138">
        <f t="shared" si="2"/>
        <v>10500</v>
      </c>
      <c r="H26" s="138">
        <f t="shared" si="0"/>
        <v>500</v>
      </c>
      <c r="I26" s="12">
        <v>10000</v>
      </c>
      <c r="J26" s="14">
        <f>0.042*7</f>
        <v>0.294</v>
      </c>
      <c r="K26" s="145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35"/>
      <c r="B27" s="14"/>
      <c r="C27" s="136"/>
      <c r="D27" s="137"/>
      <c r="E27" s="136"/>
      <c r="F27" s="139">
        <v>45503</v>
      </c>
      <c r="G27" s="138">
        <f t="shared" si="2"/>
        <v>10500</v>
      </c>
      <c r="H27" s="138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35"/>
      <c r="B28" s="14"/>
      <c r="C28" s="136"/>
      <c r="D28" s="137"/>
      <c r="E28" s="136"/>
      <c r="F28" s="139">
        <v>45503</v>
      </c>
      <c r="G28" s="138">
        <f t="shared" si="2"/>
        <v>10500</v>
      </c>
      <c r="H28" s="138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35">
        <v>45499</v>
      </c>
      <c r="B29" s="14" t="s">
        <v>39</v>
      </c>
      <c r="C29" s="136" t="s">
        <v>43</v>
      </c>
      <c r="D29" s="137" t="s">
        <v>44</v>
      </c>
      <c r="E29" s="136" t="s">
        <v>45</v>
      </c>
      <c r="F29" s="139">
        <v>45503</v>
      </c>
      <c r="G29" s="138">
        <f t="shared" si="2"/>
        <v>9765</v>
      </c>
      <c r="H29" s="138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35"/>
      <c r="B30" s="14"/>
      <c r="C30" s="136"/>
      <c r="D30" s="137"/>
      <c r="E30" s="136"/>
      <c r="F30" s="139">
        <v>45503</v>
      </c>
      <c r="G30" s="138">
        <f t="shared" si="2"/>
        <v>9765</v>
      </c>
      <c r="H30" s="138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35"/>
      <c r="B31" s="14"/>
      <c r="C31" s="136"/>
      <c r="D31" s="137"/>
      <c r="E31" s="136"/>
      <c r="F31" s="139">
        <v>45506</v>
      </c>
      <c r="G31" s="138">
        <f t="shared" si="2"/>
        <v>9765</v>
      </c>
      <c r="H31" s="138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35"/>
      <c r="B32" s="14"/>
      <c r="C32" s="136"/>
      <c r="D32" s="137"/>
      <c r="E32" s="136"/>
      <c r="F32" s="139">
        <v>45506</v>
      </c>
      <c r="G32" s="138">
        <f t="shared" si="2"/>
        <v>9765</v>
      </c>
      <c r="H32" s="138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41">
        <v>45439</v>
      </c>
      <c r="B33" s="142" t="s">
        <v>15</v>
      </c>
      <c r="C33" s="143">
        <v>54401</v>
      </c>
      <c r="D33" s="144" t="s">
        <v>16</v>
      </c>
      <c r="E33" s="143" t="s">
        <v>17</v>
      </c>
      <c r="F33" s="136" t="s">
        <v>46</v>
      </c>
      <c r="G33" s="12">
        <v>0</v>
      </c>
      <c r="H33" s="12">
        <v>0</v>
      </c>
      <c r="I33" s="12">
        <v>10000</v>
      </c>
      <c r="J33" s="14">
        <v>0.042</v>
      </c>
      <c r="K33" s="145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41">
        <v>45439</v>
      </c>
      <c r="B34" s="142" t="s">
        <v>15</v>
      </c>
      <c r="C34" s="143">
        <v>54404</v>
      </c>
      <c r="D34" s="144" t="s">
        <v>23</v>
      </c>
      <c r="E34" s="143" t="s">
        <v>24</v>
      </c>
      <c r="F34" s="136" t="s">
        <v>46</v>
      </c>
      <c r="G34" s="12">
        <v>0</v>
      </c>
      <c r="H34" s="12">
        <v>0</v>
      </c>
      <c r="I34" s="12">
        <v>30000</v>
      </c>
      <c r="J34" s="14">
        <v>0.042</v>
      </c>
      <c r="K34" s="145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35">
        <v>45477</v>
      </c>
      <c r="B35" s="14" t="s">
        <v>26</v>
      </c>
      <c r="C35" s="136">
        <v>58401</v>
      </c>
      <c r="D35" s="137" t="s">
        <v>32</v>
      </c>
      <c r="E35" s="136" t="s">
        <v>33</v>
      </c>
      <c r="F35" s="139">
        <v>45484</v>
      </c>
      <c r="G35" s="138">
        <v>32552</v>
      </c>
      <c r="H35" s="138">
        <f>G35-I35</f>
        <v>1550</v>
      </c>
      <c r="I35" s="12">
        <v>31002</v>
      </c>
      <c r="J35" s="19">
        <v>0.1</v>
      </c>
      <c r="K35" s="145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3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workbookViewId="0">
      <selection activeCell="E9" sqref="E9:E1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2" width="10.5454545454545"/>
  </cols>
  <sheetData>
    <row r="1" s="1" customFormat="1" ht="21" spans="1:14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  <c r="M1" s="1" t="s">
        <v>117</v>
      </c>
      <c r="N1" s="1" t="s">
        <v>118</v>
      </c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3">
      <c r="A3" s="79">
        <v>45730</v>
      </c>
      <c r="B3" s="80" t="s">
        <v>119</v>
      </c>
      <c r="C3" s="80" t="s">
        <v>120</v>
      </c>
      <c r="D3" s="81" t="s">
        <v>121</v>
      </c>
      <c r="E3" s="80" t="s">
        <v>122</v>
      </c>
      <c r="F3" s="82" t="s">
        <v>123</v>
      </c>
      <c r="G3" s="83" t="s">
        <v>124</v>
      </c>
      <c r="H3" s="84">
        <f>32000*1.02</f>
        <v>32640</v>
      </c>
      <c r="I3" s="84">
        <v>1.07</v>
      </c>
      <c r="J3" s="83">
        <f>H3*I3</f>
        <v>34924.8</v>
      </c>
      <c r="K3">
        <v>35593.64</v>
      </c>
      <c r="L3"/>
      <c r="M3">
        <f>K3-J3</f>
        <v>668.839999999997</v>
      </c>
    </row>
    <row r="4" ht="16.5" spans="1:10">
      <c r="A4" s="79"/>
      <c r="B4" s="80"/>
      <c r="C4" s="80"/>
      <c r="D4" s="81"/>
      <c r="E4" s="80"/>
      <c r="F4" s="85"/>
      <c r="G4" s="83" t="s">
        <v>69</v>
      </c>
      <c r="H4" s="84">
        <v>320</v>
      </c>
      <c r="I4" s="84">
        <v>0</v>
      </c>
      <c r="J4" s="83">
        <f t="shared" ref="J4:J35" si="0">H4*I4</f>
        <v>0</v>
      </c>
    </row>
    <row r="5" ht="16.5" spans="1:10">
      <c r="A5" s="79"/>
      <c r="B5" s="80"/>
      <c r="C5" s="80"/>
      <c r="D5" s="81"/>
      <c r="E5" s="80"/>
      <c r="F5" s="85"/>
      <c r="G5" s="80" t="s">
        <v>95</v>
      </c>
      <c r="H5" s="84">
        <f>2*5*5+5</f>
        <v>55</v>
      </c>
      <c r="I5" s="84">
        <v>0</v>
      </c>
      <c r="J5" s="83">
        <f t="shared" si="0"/>
        <v>0</v>
      </c>
    </row>
    <row r="6" ht="16.5" spans="1:10">
      <c r="A6" s="79"/>
      <c r="B6" s="80"/>
      <c r="C6" s="80"/>
      <c r="D6" s="81"/>
      <c r="E6" s="80"/>
      <c r="F6" s="85"/>
      <c r="G6" s="83" t="s">
        <v>72</v>
      </c>
      <c r="H6" s="84">
        <f>8000+8000+8000+8000</f>
        <v>32000</v>
      </c>
      <c r="I6" s="83">
        <v>0.28</v>
      </c>
      <c r="J6" s="83">
        <f t="shared" si="0"/>
        <v>8960</v>
      </c>
    </row>
    <row r="7" ht="16.5" spans="1:10">
      <c r="A7" s="79"/>
      <c r="B7" s="80"/>
      <c r="C7" s="80"/>
      <c r="D7" s="81"/>
      <c r="E7" s="80"/>
      <c r="F7" s="85"/>
      <c r="G7" s="42" t="s">
        <v>22</v>
      </c>
      <c r="H7" s="71">
        <f>8000+8000+8000+8000</f>
        <v>32000</v>
      </c>
      <c r="I7" s="42">
        <v>0.11</v>
      </c>
      <c r="J7" s="42">
        <f t="shared" si="0"/>
        <v>3520</v>
      </c>
    </row>
    <row r="8" ht="16.5" spans="1:13">
      <c r="A8" s="79"/>
      <c r="B8" s="80"/>
      <c r="C8" s="80"/>
      <c r="D8" s="81"/>
      <c r="E8" s="80"/>
      <c r="F8" s="86"/>
      <c r="G8" s="83" t="s">
        <v>106</v>
      </c>
      <c r="H8" s="83">
        <f>32000*4</f>
        <v>128000</v>
      </c>
      <c r="I8" s="83">
        <v>0.042</v>
      </c>
      <c r="J8" s="83">
        <f t="shared" si="0"/>
        <v>5376</v>
      </c>
      <c r="K8">
        <v>5467.39</v>
      </c>
      <c r="M8">
        <f>K8-J8</f>
        <v>91.3900000000003</v>
      </c>
    </row>
    <row r="9" ht="16.5" spans="1:10">
      <c r="A9" s="87">
        <v>45737</v>
      </c>
      <c r="B9" s="62" t="s">
        <v>119</v>
      </c>
      <c r="C9" s="62" t="s">
        <v>125</v>
      </c>
      <c r="D9" s="63" t="s">
        <v>126</v>
      </c>
      <c r="E9" s="62" t="s">
        <v>127</v>
      </c>
      <c r="F9" s="87" t="s">
        <v>128</v>
      </c>
      <c r="G9" s="42" t="s">
        <v>72</v>
      </c>
      <c r="H9" s="72">
        <v>12160</v>
      </c>
      <c r="I9" s="71">
        <v>0.28</v>
      </c>
      <c r="J9" s="42">
        <f t="shared" si="0"/>
        <v>3404.8</v>
      </c>
    </row>
    <row r="10" ht="16.5" spans="1:10">
      <c r="A10" s="87"/>
      <c r="B10" s="62"/>
      <c r="C10" s="62"/>
      <c r="D10" s="63"/>
      <c r="E10" s="62"/>
      <c r="F10" s="87"/>
      <c r="G10" s="42" t="s">
        <v>22</v>
      </c>
      <c r="H10" s="72">
        <v>12160</v>
      </c>
      <c r="I10" s="71">
        <v>0.11</v>
      </c>
      <c r="J10" s="42">
        <f t="shared" si="0"/>
        <v>1337.6</v>
      </c>
    </row>
    <row r="11" ht="16.5" spans="1:10">
      <c r="A11" s="87"/>
      <c r="B11" s="62"/>
      <c r="C11" s="62"/>
      <c r="D11" s="63"/>
      <c r="E11" s="62"/>
      <c r="F11" s="88" t="s">
        <v>129</v>
      </c>
      <c r="G11" s="42" t="s">
        <v>130</v>
      </c>
      <c r="H11" s="72">
        <f>3840*1.01</f>
        <v>3878.4</v>
      </c>
      <c r="I11" s="71">
        <v>0.28</v>
      </c>
      <c r="J11" s="42">
        <f t="shared" si="0"/>
        <v>1085.952</v>
      </c>
    </row>
    <row r="12" ht="16.5" spans="1:10">
      <c r="A12" s="87"/>
      <c r="B12" s="62"/>
      <c r="C12" s="62"/>
      <c r="D12" s="63"/>
      <c r="E12" s="62"/>
      <c r="F12" s="88"/>
      <c r="G12" s="42" t="s">
        <v>108</v>
      </c>
      <c r="H12" s="72">
        <f>200+150+150+130+200+130</f>
        <v>960</v>
      </c>
      <c r="I12" s="71">
        <v>0.24</v>
      </c>
      <c r="J12" s="42">
        <f t="shared" si="0"/>
        <v>230.4</v>
      </c>
    </row>
    <row r="13" ht="16.5" spans="1:10">
      <c r="A13" s="87"/>
      <c r="B13" s="62"/>
      <c r="C13" s="62"/>
      <c r="D13" s="63"/>
      <c r="E13" s="62"/>
      <c r="F13" s="88"/>
      <c r="G13" s="71" t="s">
        <v>22</v>
      </c>
      <c r="H13" s="72">
        <f>3840*1.01</f>
        <v>3878.4</v>
      </c>
      <c r="I13" s="71">
        <v>0.11</v>
      </c>
      <c r="J13" s="42">
        <f t="shared" si="0"/>
        <v>426.624</v>
      </c>
    </row>
    <row r="14" ht="16.5" spans="1:10">
      <c r="A14" s="87"/>
      <c r="B14" s="62"/>
      <c r="C14" s="62"/>
      <c r="D14" s="63"/>
      <c r="E14" s="62"/>
      <c r="F14" s="87" t="s">
        <v>131</v>
      </c>
      <c r="G14" s="42" t="s">
        <v>72</v>
      </c>
      <c r="H14" s="77">
        <f>3000*1.01</f>
        <v>3030</v>
      </c>
      <c r="I14" s="42">
        <v>0.24</v>
      </c>
      <c r="J14" s="42">
        <f t="shared" si="0"/>
        <v>727.2</v>
      </c>
    </row>
    <row r="15" ht="16.5" spans="1:10">
      <c r="A15" s="87"/>
      <c r="B15" s="62"/>
      <c r="C15" s="62"/>
      <c r="D15" s="63"/>
      <c r="E15" s="62"/>
      <c r="F15" s="87" t="s">
        <v>102</v>
      </c>
      <c r="G15" s="42" t="s">
        <v>132</v>
      </c>
      <c r="H15" s="42">
        <f>22000*4</f>
        <v>88000</v>
      </c>
      <c r="I15" s="42">
        <v>0.042</v>
      </c>
      <c r="J15" s="42">
        <f t="shared" si="0"/>
        <v>3696</v>
      </c>
    </row>
    <row r="16" ht="16.5" spans="1:10">
      <c r="A16" s="87"/>
      <c r="B16" s="62"/>
      <c r="C16" s="62"/>
      <c r="D16" s="63"/>
      <c r="E16" s="62"/>
      <c r="F16" s="87"/>
      <c r="G16" s="42" t="s">
        <v>133</v>
      </c>
      <c r="H16" s="77">
        <f>3000+3000+16000</f>
        <v>22000</v>
      </c>
      <c r="I16" s="42">
        <v>0.85</v>
      </c>
      <c r="J16" s="42">
        <f t="shared" si="0"/>
        <v>18700</v>
      </c>
    </row>
    <row r="17" ht="16.5" spans="1:10">
      <c r="A17" s="87"/>
      <c r="B17" s="62"/>
      <c r="C17" s="62"/>
      <c r="D17" s="63"/>
      <c r="E17" s="62"/>
      <c r="F17" s="87"/>
      <c r="G17" s="42" t="s">
        <v>134</v>
      </c>
      <c r="H17" s="42">
        <f>22000*0.01</f>
        <v>220</v>
      </c>
      <c r="I17" s="42">
        <v>0</v>
      </c>
      <c r="J17" s="42">
        <f t="shared" si="0"/>
        <v>0</v>
      </c>
    </row>
    <row r="18" ht="16.5" spans="1:10">
      <c r="A18" s="87"/>
      <c r="B18" s="62"/>
      <c r="C18" s="62"/>
      <c r="D18" s="63"/>
      <c r="E18" s="62"/>
      <c r="F18" s="87"/>
      <c r="G18" s="42" t="s">
        <v>135</v>
      </c>
      <c r="H18" s="42">
        <f>5*5*2+5</f>
        <v>55</v>
      </c>
      <c r="I18" s="42">
        <v>0</v>
      </c>
      <c r="J18" s="42">
        <f t="shared" si="0"/>
        <v>0</v>
      </c>
    </row>
    <row r="19" ht="16.5" spans="1:10">
      <c r="A19" s="87"/>
      <c r="B19" s="62"/>
      <c r="C19" s="62"/>
      <c r="D19" s="63"/>
      <c r="E19" s="62"/>
      <c r="F19" s="87"/>
      <c r="G19" s="42" t="s">
        <v>136</v>
      </c>
      <c r="H19" s="77">
        <f>3000+3000+16000</f>
        <v>22000</v>
      </c>
      <c r="I19" s="42">
        <v>0.15</v>
      </c>
      <c r="J19" s="42">
        <f t="shared" si="0"/>
        <v>3300</v>
      </c>
    </row>
    <row r="20" ht="16.5" spans="1:10">
      <c r="A20" s="89">
        <v>45741</v>
      </c>
      <c r="B20" s="90" t="s">
        <v>119</v>
      </c>
      <c r="C20" s="90" t="s">
        <v>137</v>
      </c>
      <c r="D20" s="91" t="s">
        <v>138</v>
      </c>
      <c r="E20" s="90" t="s">
        <v>139</v>
      </c>
      <c r="F20" s="89" t="s">
        <v>140</v>
      </c>
      <c r="G20" s="92" t="s">
        <v>130</v>
      </c>
      <c r="H20" s="93">
        <f>8000*1.01</f>
        <v>8080</v>
      </c>
      <c r="I20" s="92">
        <v>0.28</v>
      </c>
      <c r="J20" s="92">
        <f t="shared" si="0"/>
        <v>2262.4</v>
      </c>
    </row>
    <row r="21" ht="16.5" spans="1:10">
      <c r="A21" s="89"/>
      <c r="B21" s="90"/>
      <c r="C21" s="90"/>
      <c r="D21" s="91"/>
      <c r="E21" s="90"/>
      <c r="F21" s="87"/>
      <c r="G21" s="42" t="s">
        <v>22</v>
      </c>
      <c r="H21" s="77">
        <f>38000</f>
        <v>38000</v>
      </c>
      <c r="I21" s="42">
        <v>0.11</v>
      </c>
      <c r="J21" s="42">
        <f t="shared" si="0"/>
        <v>4180</v>
      </c>
    </row>
    <row r="22" ht="16.5" spans="1:13">
      <c r="A22" s="89"/>
      <c r="B22" s="90"/>
      <c r="C22" s="90"/>
      <c r="D22" s="91"/>
      <c r="E22" s="90"/>
      <c r="F22" s="89" t="s">
        <v>141</v>
      </c>
      <c r="G22" s="92" t="s">
        <v>130</v>
      </c>
      <c r="H22" s="93">
        <f>20000*1.01</f>
        <v>20200</v>
      </c>
      <c r="I22" s="92">
        <v>0.24</v>
      </c>
      <c r="J22" s="92">
        <f t="shared" si="0"/>
        <v>4848</v>
      </c>
      <c r="K22">
        <v>6567.8</v>
      </c>
      <c r="L22"/>
      <c r="M22">
        <f>K22-J20-J22</f>
        <v>-542.6</v>
      </c>
    </row>
    <row r="23" ht="16.5" spans="1:10">
      <c r="A23" s="89"/>
      <c r="B23" s="90"/>
      <c r="C23" s="90"/>
      <c r="D23" s="91"/>
      <c r="E23" s="90"/>
      <c r="F23" s="87" t="s">
        <v>142</v>
      </c>
      <c r="G23" s="42" t="s">
        <v>108</v>
      </c>
      <c r="H23" s="77">
        <f>130+200+150</f>
        <v>480</v>
      </c>
      <c r="I23" s="42">
        <v>0.24</v>
      </c>
      <c r="J23" s="42">
        <f t="shared" si="0"/>
        <v>115.2</v>
      </c>
    </row>
    <row r="24" ht="16.5" spans="1:13">
      <c r="A24" s="89"/>
      <c r="B24" s="90"/>
      <c r="C24" s="90"/>
      <c r="D24" s="91"/>
      <c r="E24" s="90"/>
      <c r="F24" s="89" t="s">
        <v>78</v>
      </c>
      <c r="G24" s="92" t="s">
        <v>132</v>
      </c>
      <c r="H24" s="92">
        <f>38000*4</f>
        <v>152000</v>
      </c>
      <c r="I24" s="92">
        <v>0.042</v>
      </c>
      <c r="J24" s="92">
        <f t="shared" si="0"/>
        <v>6384</v>
      </c>
      <c r="K24">
        <v>6626.88</v>
      </c>
      <c r="L24"/>
      <c r="M24">
        <f>K24-J24</f>
        <v>242.88</v>
      </c>
    </row>
    <row r="25" ht="16.5" spans="1:10">
      <c r="A25" s="89"/>
      <c r="B25" s="90"/>
      <c r="C25" s="90"/>
      <c r="D25" s="91"/>
      <c r="E25" s="90"/>
      <c r="F25" s="89"/>
      <c r="G25" s="92" t="s">
        <v>133</v>
      </c>
      <c r="H25" s="93">
        <f>8000+10080+4000+2000+4000+4000+4000+1920</f>
        <v>38000</v>
      </c>
      <c r="I25" s="92">
        <v>0.85</v>
      </c>
      <c r="J25" s="92">
        <f t="shared" si="0"/>
        <v>32300</v>
      </c>
    </row>
    <row r="26" ht="16.5" spans="1:10">
      <c r="A26" s="89"/>
      <c r="B26" s="90"/>
      <c r="C26" s="90"/>
      <c r="D26" s="91"/>
      <c r="E26" s="90"/>
      <c r="F26" s="89"/>
      <c r="G26" s="92" t="s">
        <v>134</v>
      </c>
      <c r="H26" s="92">
        <f>H25*0.01</f>
        <v>380</v>
      </c>
      <c r="I26" s="92">
        <v>0</v>
      </c>
      <c r="J26" s="92">
        <f t="shared" si="0"/>
        <v>0</v>
      </c>
    </row>
    <row r="27" ht="16.5" spans="1:10">
      <c r="A27" s="89"/>
      <c r="B27" s="90"/>
      <c r="C27" s="90"/>
      <c r="D27" s="91"/>
      <c r="E27" s="90"/>
      <c r="F27" s="89"/>
      <c r="G27" s="92" t="s">
        <v>135</v>
      </c>
      <c r="H27" s="92">
        <f>2*5*5+5</f>
        <v>55</v>
      </c>
      <c r="I27" s="92">
        <v>0</v>
      </c>
      <c r="J27" s="92">
        <f t="shared" si="0"/>
        <v>0</v>
      </c>
    </row>
    <row r="28" ht="16.5" spans="1:11">
      <c r="A28" s="89"/>
      <c r="B28" s="90"/>
      <c r="C28" s="90"/>
      <c r="D28" s="91"/>
      <c r="E28" s="90"/>
      <c r="F28" s="89"/>
      <c r="G28" s="92" t="s">
        <v>136</v>
      </c>
      <c r="H28" s="93">
        <f>8000+10080+4000+2000+4000+4000+4000+1920</f>
        <v>38000</v>
      </c>
      <c r="I28" s="92">
        <v>0.15</v>
      </c>
      <c r="J28" s="92">
        <f t="shared" si="0"/>
        <v>5700</v>
      </c>
      <c r="K28">
        <v>38000</v>
      </c>
    </row>
    <row r="29" ht="16.5" spans="1:10">
      <c r="A29" s="79">
        <v>45742</v>
      </c>
      <c r="B29" s="80" t="s">
        <v>119</v>
      </c>
      <c r="C29" s="80" t="s">
        <v>143</v>
      </c>
      <c r="D29" s="81" t="s">
        <v>144</v>
      </c>
      <c r="E29" s="80" t="s">
        <v>145</v>
      </c>
      <c r="F29" s="79" t="s">
        <v>78</v>
      </c>
      <c r="G29" s="83" t="s">
        <v>87</v>
      </c>
      <c r="H29" s="83">
        <v>8000</v>
      </c>
      <c r="I29" s="83">
        <v>1.07</v>
      </c>
      <c r="J29" s="83">
        <f t="shared" si="0"/>
        <v>8560</v>
      </c>
    </row>
    <row r="30" ht="16.5" spans="1:13">
      <c r="A30" s="79"/>
      <c r="B30" s="80"/>
      <c r="C30" s="80"/>
      <c r="D30" s="81"/>
      <c r="E30" s="80"/>
      <c r="F30" s="79"/>
      <c r="G30" s="83" t="s">
        <v>69</v>
      </c>
      <c r="H30" s="83">
        <f>H29*0.01</f>
        <v>80</v>
      </c>
      <c r="I30" s="83">
        <v>0</v>
      </c>
      <c r="J30" s="83">
        <f t="shared" si="0"/>
        <v>0</v>
      </c>
      <c r="K30">
        <v>13085.18</v>
      </c>
      <c r="M30">
        <f>K30-J29-J34</f>
        <v>-824.82</v>
      </c>
    </row>
    <row r="31" ht="16.5" spans="1:13">
      <c r="A31" s="79"/>
      <c r="B31" s="80"/>
      <c r="C31" s="80"/>
      <c r="D31" s="81"/>
      <c r="E31" s="80"/>
      <c r="F31" s="79"/>
      <c r="G31" s="83" t="s">
        <v>72</v>
      </c>
      <c r="H31" s="83">
        <v>8000</v>
      </c>
      <c r="I31" s="83">
        <v>0.28</v>
      </c>
      <c r="J31" s="83">
        <f t="shared" si="0"/>
        <v>2240</v>
      </c>
      <c r="K31">
        <v>11715.84</v>
      </c>
      <c r="M31">
        <f>K31-J6-J31</f>
        <v>515.84</v>
      </c>
    </row>
    <row r="32" ht="16.5" spans="1:10">
      <c r="A32" s="79"/>
      <c r="B32" s="80"/>
      <c r="C32" s="80"/>
      <c r="D32" s="81"/>
      <c r="E32" s="80"/>
      <c r="F32" s="79"/>
      <c r="G32" s="83" t="s">
        <v>22</v>
      </c>
      <c r="H32" s="83">
        <v>8000</v>
      </c>
      <c r="I32" s="83">
        <v>0.11</v>
      </c>
      <c r="J32" s="83">
        <f t="shared" si="0"/>
        <v>880</v>
      </c>
    </row>
    <row r="33" ht="16.5" spans="1:10">
      <c r="A33" s="79"/>
      <c r="B33" s="80"/>
      <c r="C33" s="80"/>
      <c r="D33" s="81"/>
      <c r="E33" s="80"/>
      <c r="F33" s="79"/>
      <c r="G33" s="83" t="s">
        <v>106</v>
      </c>
      <c r="H33" s="83">
        <f>8000*4</f>
        <v>32000</v>
      </c>
      <c r="I33" s="83">
        <v>0.042</v>
      </c>
      <c r="J33" s="83">
        <f t="shared" si="0"/>
        <v>1344</v>
      </c>
    </row>
    <row r="34" ht="16.5" spans="1:10">
      <c r="A34" s="79"/>
      <c r="B34" s="80"/>
      <c r="C34" s="80"/>
      <c r="D34" s="81"/>
      <c r="E34" s="80"/>
      <c r="F34" s="79"/>
      <c r="G34" s="83" t="s">
        <v>87</v>
      </c>
      <c r="H34" s="83">
        <v>5000</v>
      </c>
      <c r="I34" s="83">
        <v>1.07</v>
      </c>
      <c r="J34" s="83">
        <f t="shared" si="0"/>
        <v>5350</v>
      </c>
    </row>
    <row r="35" ht="16.5" spans="1:10">
      <c r="A35" s="79"/>
      <c r="B35" s="80"/>
      <c r="C35" s="80"/>
      <c r="D35" s="81"/>
      <c r="E35" s="80"/>
      <c r="F35" s="79"/>
      <c r="G35" s="83" t="s">
        <v>69</v>
      </c>
      <c r="H35" s="83">
        <f>H34*0.01</f>
        <v>50</v>
      </c>
      <c r="I35" s="83">
        <v>0</v>
      </c>
      <c r="J35" s="83">
        <f t="shared" si="0"/>
        <v>0</v>
      </c>
    </row>
    <row r="36" ht="16.5" spans="1:10">
      <c r="A36" s="79"/>
      <c r="B36" s="80"/>
      <c r="C36" s="80"/>
      <c r="D36" s="81"/>
      <c r="E36" s="80"/>
      <c r="F36" s="79"/>
      <c r="G36" s="83" t="s">
        <v>72</v>
      </c>
      <c r="H36" s="83">
        <v>5000</v>
      </c>
      <c r="I36" s="83">
        <v>0.28</v>
      </c>
      <c r="J36" s="83">
        <f t="shared" ref="J36:J78" si="1">H36*I36</f>
        <v>1400</v>
      </c>
    </row>
    <row r="37" ht="16.5" spans="1:11">
      <c r="A37" s="79"/>
      <c r="B37" s="80"/>
      <c r="C37" s="80"/>
      <c r="D37" s="81"/>
      <c r="E37" s="80"/>
      <c r="F37" s="79"/>
      <c r="G37" s="83" t="s">
        <v>22</v>
      </c>
      <c r="H37" s="83">
        <v>5000</v>
      </c>
      <c r="I37" s="83">
        <v>0.11</v>
      </c>
      <c r="J37" s="83">
        <f t="shared" si="1"/>
        <v>550</v>
      </c>
      <c r="K37">
        <v>1430</v>
      </c>
    </row>
    <row r="38" ht="16.5" spans="1:13">
      <c r="A38" s="79"/>
      <c r="B38" s="80"/>
      <c r="C38" s="80"/>
      <c r="D38" s="81"/>
      <c r="E38" s="80"/>
      <c r="F38" s="79"/>
      <c r="G38" s="83" t="s">
        <v>106</v>
      </c>
      <c r="H38" s="83">
        <f>5000*4</f>
        <v>20000</v>
      </c>
      <c r="I38" s="83">
        <v>0.042</v>
      </c>
      <c r="J38" s="83">
        <f t="shared" si="1"/>
        <v>840</v>
      </c>
      <c r="K38">
        <v>2050</v>
      </c>
      <c r="M38">
        <f>K38-J33-J38</f>
        <v>-134</v>
      </c>
    </row>
    <row r="39" ht="16.5" spans="1:13">
      <c r="A39" s="79"/>
      <c r="B39" s="80"/>
      <c r="C39" s="80"/>
      <c r="D39" s="81"/>
      <c r="E39" s="80"/>
      <c r="F39" s="79"/>
      <c r="G39" s="83" t="s">
        <v>110</v>
      </c>
      <c r="H39" s="83">
        <v>43260</v>
      </c>
      <c r="I39" s="83">
        <v>0.33</v>
      </c>
      <c r="J39" s="83">
        <f t="shared" si="1"/>
        <v>14275.8</v>
      </c>
      <c r="K39">
        <v>18683.98</v>
      </c>
      <c r="M39">
        <f>K39-J39-J46</f>
        <v>329.38</v>
      </c>
    </row>
    <row r="40" ht="16.5" spans="1:13">
      <c r="A40" s="79">
        <v>45755</v>
      </c>
      <c r="B40" s="80" t="s">
        <v>119</v>
      </c>
      <c r="C40" s="80" t="s">
        <v>146</v>
      </c>
      <c r="D40" s="81" t="s">
        <v>147</v>
      </c>
      <c r="E40" s="80" t="s">
        <v>148</v>
      </c>
      <c r="F40" s="79" t="s">
        <v>149</v>
      </c>
      <c r="G40" s="83" t="s">
        <v>87</v>
      </c>
      <c r="H40" s="83">
        <v>12000</v>
      </c>
      <c r="I40" s="83">
        <v>1.07</v>
      </c>
      <c r="J40" s="83">
        <f t="shared" si="1"/>
        <v>12840</v>
      </c>
      <c r="K40">
        <v>14160.37</v>
      </c>
      <c r="M40">
        <f>K40-J40</f>
        <v>1320.37</v>
      </c>
    </row>
    <row r="41" ht="16.5" spans="1:10">
      <c r="A41" s="79"/>
      <c r="B41" s="80"/>
      <c r="C41" s="80"/>
      <c r="D41" s="81"/>
      <c r="E41" s="80"/>
      <c r="F41" s="79"/>
      <c r="G41" s="83" t="s">
        <v>69</v>
      </c>
      <c r="H41" s="83">
        <f>12000*0.01</f>
        <v>120</v>
      </c>
      <c r="I41" s="83">
        <v>0</v>
      </c>
      <c r="J41" s="83">
        <f t="shared" si="1"/>
        <v>0</v>
      </c>
    </row>
    <row r="42" ht="16.5" spans="1:10">
      <c r="A42" s="79"/>
      <c r="B42" s="80"/>
      <c r="C42" s="80"/>
      <c r="D42" s="81"/>
      <c r="E42" s="80"/>
      <c r="F42" s="79" t="s">
        <v>142</v>
      </c>
      <c r="G42" s="83" t="s">
        <v>72</v>
      </c>
      <c r="H42" s="83">
        <f>12000-1000</f>
        <v>11000</v>
      </c>
      <c r="I42" s="83">
        <v>0.24</v>
      </c>
      <c r="J42" s="83">
        <f t="shared" si="1"/>
        <v>2640</v>
      </c>
    </row>
    <row r="43" ht="16.5" spans="1:13">
      <c r="A43" s="79"/>
      <c r="B43" s="80"/>
      <c r="C43" s="80"/>
      <c r="D43" s="81"/>
      <c r="E43" s="80"/>
      <c r="F43" s="79"/>
      <c r="G43" s="83" t="s">
        <v>79</v>
      </c>
      <c r="H43" s="83">
        <v>1200</v>
      </c>
      <c r="I43" s="83">
        <v>0.24</v>
      </c>
      <c r="J43" s="83">
        <f t="shared" si="1"/>
        <v>288</v>
      </c>
      <c r="K43">
        <v>4393</v>
      </c>
      <c r="M43">
        <f>K43-J36-J42-J43</f>
        <v>65</v>
      </c>
    </row>
    <row r="44" ht="16.5" spans="1:10">
      <c r="A44" s="79"/>
      <c r="B44" s="80"/>
      <c r="C44" s="80"/>
      <c r="D44" s="81"/>
      <c r="E44" s="80"/>
      <c r="F44" s="79" t="s">
        <v>140</v>
      </c>
      <c r="G44" s="42" t="s">
        <v>22</v>
      </c>
      <c r="H44" s="42">
        <v>12000</v>
      </c>
      <c r="I44" s="42">
        <v>0.11</v>
      </c>
      <c r="J44" s="42">
        <f t="shared" si="1"/>
        <v>1320</v>
      </c>
    </row>
    <row r="45" ht="16.5" spans="1:13">
      <c r="A45" s="79"/>
      <c r="B45" s="80"/>
      <c r="C45" s="80"/>
      <c r="D45" s="81"/>
      <c r="E45" s="80"/>
      <c r="F45" s="79" t="s">
        <v>140</v>
      </c>
      <c r="G45" s="83" t="s">
        <v>106</v>
      </c>
      <c r="H45" s="83">
        <f>12000*4</f>
        <v>48000</v>
      </c>
      <c r="I45" s="83">
        <v>0.042</v>
      </c>
      <c r="J45" s="83">
        <f t="shared" si="1"/>
        <v>2016</v>
      </c>
      <c r="K45">
        <v>2184</v>
      </c>
      <c r="M45">
        <f>K45-J45</f>
        <v>168</v>
      </c>
    </row>
    <row r="46" ht="16.5" spans="1:10">
      <c r="A46" s="79"/>
      <c r="B46" s="80"/>
      <c r="C46" s="80"/>
      <c r="D46" s="81"/>
      <c r="E46" s="80"/>
      <c r="F46" s="79" t="s">
        <v>78</v>
      </c>
      <c r="G46" s="83" t="s">
        <v>110</v>
      </c>
      <c r="H46" s="83">
        <v>12360</v>
      </c>
      <c r="I46" s="83">
        <v>0.33</v>
      </c>
      <c r="J46" s="83">
        <f t="shared" si="1"/>
        <v>4078.8</v>
      </c>
    </row>
    <row r="47" ht="33" spans="1:11">
      <c r="A47" s="79">
        <v>45761</v>
      </c>
      <c r="B47" s="80" t="s">
        <v>119</v>
      </c>
      <c r="C47" s="80" t="s">
        <v>43</v>
      </c>
      <c r="D47" s="81" t="s">
        <v>150</v>
      </c>
      <c r="E47" s="80" t="s">
        <v>151</v>
      </c>
      <c r="F47" s="79" t="s">
        <v>152</v>
      </c>
      <c r="G47" s="83" t="s">
        <v>153</v>
      </c>
      <c r="H47" s="83">
        <v>57289</v>
      </c>
      <c r="I47" s="83">
        <v>0.05</v>
      </c>
      <c r="J47" s="83">
        <f t="shared" si="1"/>
        <v>2864.45</v>
      </c>
      <c r="K47">
        <v>2864.45</v>
      </c>
    </row>
    <row r="48" ht="33" spans="1:10">
      <c r="A48" s="89">
        <v>45761</v>
      </c>
      <c r="B48" s="89" t="s">
        <v>119</v>
      </c>
      <c r="C48" s="89" t="s">
        <v>43</v>
      </c>
      <c r="D48" s="94" t="s">
        <v>154</v>
      </c>
      <c r="E48" s="89" t="s">
        <v>155</v>
      </c>
      <c r="F48" s="89" t="s">
        <v>152</v>
      </c>
      <c r="G48" s="92" t="s">
        <v>153</v>
      </c>
      <c r="H48" s="92">
        <v>40314</v>
      </c>
      <c r="I48" s="92">
        <v>0.05</v>
      </c>
      <c r="J48" s="92">
        <f t="shared" si="1"/>
        <v>2015.7</v>
      </c>
    </row>
    <row r="49" ht="16.5" spans="1:10">
      <c r="A49" s="89"/>
      <c r="B49" s="89"/>
      <c r="C49" s="89"/>
      <c r="D49" s="94"/>
      <c r="E49" s="89"/>
      <c r="F49" s="89" t="s">
        <v>140</v>
      </c>
      <c r="G49" s="92" t="s">
        <v>156</v>
      </c>
      <c r="H49" s="92">
        <v>40314</v>
      </c>
      <c r="I49" s="92">
        <v>0.3</v>
      </c>
      <c r="J49" s="92">
        <f t="shared" si="1"/>
        <v>12094.2</v>
      </c>
    </row>
    <row r="50" ht="16.5" spans="1:10">
      <c r="A50" s="89"/>
      <c r="B50" s="89"/>
      <c r="C50" s="89"/>
      <c r="D50" s="94"/>
      <c r="E50" s="89"/>
      <c r="F50" s="89" t="s">
        <v>140</v>
      </c>
      <c r="G50" s="92" t="s">
        <v>157</v>
      </c>
      <c r="H50" s="92">
        <v>900</v>
      </c>
      <c r="I50" s="92">
        <v>0.18</v>
      </c>
      <c r="J50" s="92">
        <f t="shared" si="1"/>
        <v>162</v>
      </c>
    </row>
    <row r="51" ht="16.5" spans="1:10">
      <c r="A51" s="89">
        <v>45761</v>
      </c>
      <c r="B51" s="90" t="s">
        <v>119</v>
      </c>
      <c r="C51" s="90" t="s">
        <v>137</v>
      </c>
      <c r="D51" s="91" t="s">
        <v>158</v>
      </c>
      <c r="E51" s="90" t="s">
        <v>159</v>
      </c>
      <c r="F51" s="95" t="s">
        <v>140</v>
      </c>
      <c r="G51" s="42" t="s">
        <v>22</v>
      </c>
      <c r="H51" s="77">
        <f>38000*0.01</f>
        <v>380</v>
      </c>
      <c r="I51" s="42">
        <v>0.11</v>
      </c>
      <c r="J51" s="42">
        <f t="shared" si="1"/>
        <v>41.8</v>
      </c>
    </row>
    <row r="52" ht="16.5" spans="1:11">
      <c r="A52" s="89"/>
      <c r="B52" s="90"/>
      <c r="C52" s="90"/>
      <c r="D52" s="91"/>
      <c r="E52" s="90"/>
      <c r="F52" s="96"/>
      <c r="G52" s="92" t="s">
        <v>132</v>
      </c>
      <c r="H52" s="93">
        <f>38000*0.01*4</f>
        <v>1520</v>
      </c>
      <c r="I52" s="92">
        <v>0.042</v>
      </c>
      <c r="J52" s="92">
        <f t="shared" si="1"/>
        <v>63.84</v>
      </c>
      <c r="K52">
        <v>63.84</v>
      </c>
    </row>
    <row r="53" ht="16.5" spans="1:13">
      <c r="A53" s="89"/>
      <c r="B53" s="90"/>
      <c r="C53" s="90"/>
      <c r="D53" s="91"/>
      <c r="E53" s="90"/>
      <c r="F53" s="96"/>
      <c r="G53" s="92" t="s">
        <v>133</v>
      </c>
      <c r="H53" s="93">
        <v>1935</v>
      </c>
      <c r="I53" s="92">
        <v>0.85</v>
      </c>
      <c r="J53" s="92">
        <f t="shared" si="1"/>
        <v>1644.75</v>
      </c>
      <c r="K53">
        <v>1140</v>
      </c>
      <c r="L53"/>
      <c r="M53">
        <f>K53-J53</f>
        <v>-504.75</v>
      </c>
    </row>
    <row r="54" ht="16.5" spans="1:10">
      <c r="A54" s="89"/>
      <c r="B54" s="90"/>
      <c r="C54" s="90"/>
      <c r="D54" s="91"/>
      <c r="E54" s="90"/>
      <c r="F54" s="96"/>
      <c r="G54" s="92" t="s">
        <v>134</v>
      </c>
      <c r="H54" s="92">
        <v>19</v>
      </c>
      <c r="I54" s="92">
        <v>0</v>
      </c>
      <c r="J54" s="92">
        <f t="shared" si="1"/>
        <v>0</v>
      </c>
    </row>
    <row r="55" ht="16.5" spans="1:10">
      <c r="A55" s="89"/>
      <c r="B55" s="90"/>
      <c r="C55" s="90"/>
      <c r="D55" s="91"/>
      <c r="E55" s="90"/>
      <c r="F55" s="97"/>
      <c r="G55" s="42" t="s">
        <v>136</v>
      </c>
      <c r="H55" s="77">
        <f>48+105+135+90+45</f>
        <v>423</v>
      </c>
      <c r="I55" s="42">
        <v>0.15</v>
      </c>
      <c r="J55" s="42">
        <f t="shared" si="1"/>
        <v>63.45</v>
      </c>
    </row>
    <row r="56" ht="16.5" spans="1:10">
      <c r="A56" s="87">
        <v>45765</v>
      </c>
      <c r="B56" s="62" t="s">
        <v>119</v>
      </c>
      <c r="C56" s="62" t="s">
        <v>43</v>
      </c>
      <c r="D56" s="63" t="s">
        <v>160</v>
      </c>
      <c r="E56" s="62" t="s">
        <v>161</v>
      </c>
      <c r="F56" s="87" t="s">
        <v>162</v>
      </c>
      <c r="G56" s="42" t="s">
        <v>156</v>
      </c>
      <c r="H56" s="77">
        <v>23340</v>
      </c>
      <c r="I56" s="42">
        <v>0.3</v>
      </c>
      <c r="J56" s="42">
        <f t="shared" si="1"/>
        <v>7002</v>
      </c>
    </row>
    <row r="57" ht="16.5" spans="1:10">
      <c r="A57" s="87"/>
      <c r="B57" s="62"/>
      <c r="C57" s="62"/>
      <c r="D57" s="63"/>
      <c r="E57" s="62"/>
      <c r="F57" s="87"/>
      <c r="G57" s="42" t="s">
        <v>163</v>
      </c>
      <c r="H57" s="77">
        <v>23340</v>
      </c>
      <c r="I57" s="42">
        <v>0.08</v>
      </c>
      <c r="J57" s="42">
        <f t="shared" si="1"/>
        <v>1867.2</v>
      </c>
    </row>
    <row r="58" ht="16.5" spans="1:10">
      <c r="A58" s="87"/>
      <c r="B58" s="62"/>
      <c r="C58" s="62"/>
      <c r="D58" s="63"/>
      <c r="E58" s="62"/>
      <c r="F58" s="87"/>
      <c r="G58" s="42" t="s">
        <v>157</v>
      </c>
      <c r="H58" s="42">
        <v>1000</v>
      </c>
      <c r="I58" s="42">
        <v>0.18</v>
      </c>
      <c r="J58" s="42">
        <f t="shared" si="1"/>
        <v>180</v>
      </c>
    </row>
    <row r="59" ht="16.5" spans="1:10">
      <c r="A59" s="87">
        <v>45770</v>
      </c>
      <c r="B59" s="62" t="s">
        <v>119</v>
      </c>
      <c r="C59" s="62" t="s">
        <v>164</v>
      </c>
      <c r="D59" s="63" t="s">
        <v>165</v>
      </c>
      <c r="E59" s="62" t="s">
        <v>166</v>
      </c>
      <c r="F59" s="87" t="s">
        <v>142</v>
      </c>
      <c r="G59" s="42" t="s">
        <v>167</v>
      </c>
      <c r="H59" s="77">
        <f>2000+13</f>
        <v>2013</v>
      </c>
      <c r="I59" s="42">
        <v>1.07</v>
      </c>
      <c r="J59" s="42">
        <f t="shared" si="1"/>
        <v>2153.91</v>
      </c>
    </row>
    <row r="60" ht="16.5" spans="1:10">
      <c r="A60" s="87"/>
      <c r="B60" s="62"/>
      <c r="C60" s="62"/>
      <c r="D60" s="63"/>
      <c r="E60" s="62"/>
      <c r="F60" s="87"/>
      <c r="G60" s="42" t="s">
        <v>168</v>
      </c>
      <c r="H60" s="77">
        <f>H59*0.01</f>
        <v>20.13</v>
      </c>
      <c r="I60" s="42">
        <v>0</v>
      </c>
      <c r="J60" s="42">
        <f t="shared" si="1"/>
        <v>0</v>
      </c>
    </row>
    <row r="61" ht="16.5" spans="1:10">
      <c r="A61" s="87"/>
      <c r="B61" s="62"/>
      <c r="C61" s="62"/>
      <c r="D61" s="63"/>
      <c r="E61" s="62"/>
      <c r="F61" s="87"/>
      <c r="G61" s="42" t="s">
        <v>169</v>
      </c>
      <c r="H61" s="77">
        <f>5*5+5</f>
        <v>30</v>
      </c>
      <c r="I61" s="42">
        <v>0</v>
      </c>
      <c r="J61" s="42">
        <f t="shared" si="1"/>
        <v>0</v>
      </c>
    </row>
    <row r="62" ht="16.5" spans="1:10">
      <c r="A62" s="87"/>
      <c r="B62" s="62"/>
      <c r="C62" s="62"/>
      <c r="D62" s="63"/>
      <c r="E62" s="62"/>
      <c r="F62" s="87"/>
      <c r="G62" s="42" t="s">
        <v>170</v>
      </c>
      <c r="H62" s="42">
        <f>2033*4</f>
        <v>8132</v>
      </c>
      <c r="I62" s="42">
        <v>0.042</v>
      </c>
      <c r="J62" s="42">
        <f t="shared" si="1"/>
        <v>341.544</v>
      </c>
    </row>
    <row r="63" ht="16.5" spans="1:10">
      <c r="A63" s="87"/>
      <c r="B63" s="62"/>
      <c r="C63" s="62"/>
      <c r="D63" s="63"/>
      <c r="E63" s="62"/>
      <c r="F63" s="87"/>
      <c r="G63" s="42" t="s">
        <v>130</v>
      </c>
      <c r="H63" s="77">
        <f>2033</f>
        <v>2033</v>
      </c>
      <c r="I63" s="42">
        <v>0.24</v>
      </c>
      <c r="J63" s="42">
        <f t="shared" si="1"/>
        <v>487.92</v>
      </c>
    </row>
    <row r="64" ht="16.5" spans="1:10">
      <c r="A64" s="87"/>
      <c r="B64" s="62"/>
      <c r="C64" s="62"/>
      <c r="D64" s="63"/>
      <c r="E64" s="62"/>
      <c r="F64" s="87"/>
      <c r="G64" s="42" t="s">
        <v>171</v>
      </c>
      <c r="H64" s="77">
        <f>2033</f>
        <v>2033</v>
      </c>
      <c r="I64" s="42">
        <v>0.11</v>
      </c>
      <c r="J64" s="42">
        <f t="shared" si="1"/>
        <v>223.63</v>
      </c>
    </row>
    <row r="65" ht="16.5" spans="1:10">
      <c r="A65" s="87"/>
      <c r="B65" s="62"/>
      <c r="C65" s="62"/>
      <c r="D65" s="63"/>
      <c r="E65" s="62"/>
      <c r="F65" s="87"/>
      <c r="G65" s="42" t="s">
        <v>172</v>
      </c>
      <c r="H65" s="77">
        <f>700*1.01</f>
        <v>707</v>
      </c>
      <c r="I65" s="42">
        <v>0.24</v>
      </c>
      <c r="J65" s="42">
        <f t="shared" si="1"/>
        <v>169.68</v>
      </c>
    </row>
    <row r="66" ht="16.5" spans="1:10">
      <c r="A66" s="87"/>
      <c r="B66" s="62"/>
      <c r="C66" s="62"/>
      <c r="D66" s="63"/>
      <c r="E66" s="62"/>
      <c r="F66" s="87"/>
      <c r="G66" s="42" t="s">
        <v>173</v>
      </c>
      <c r="H66" s="77">
        <v>12360</v>
      </c>
      <c r="I66" s="42">
        <v>0.38</v>
      </c>
      <c r="J66" s="42">
        <f t="shared" si="1"/>
        <v>4696.8</v>
      </c>
    </row>
    <row r="67" ht="16.5" spans="1:10">
      <c r="A67" s="87"/>
      <c r="B67" s="62"/>
      <c r="C67" s="62"/>
      <c r="D67" s="63"/>
      <c r="E67" s="62"/>
      <c r="F67" s="87"/>
      <c r="G67" s="42" t="s">
        <v>111</v>
      </c>
      <c r="H67" s="77">
        <v>9270</v>
      </c>
      <c r="I67" s="42">
        <v>0.63</v>
      </c>
      <c r="J67" s="42">
        <f t="shared" si="1"/>
        <v>5840.1</v>
      </c>
    </row>
    <row r="68" ht="16.5" spans="1:10">
      <c r="A68" s="87">
        <v>45782</v>
      </c>
      <c r="B68" s="62" t="s">
        <v>119</v>
      </c>
      <c r="C68" s="62" t="s">
        <v>174</v>
      </c>
      <c r="D68" s="63" t="s">
        <v>175</v>
      </c>
      <c r="E68" s="62" t="s">
        <v>176</v>
      </c>
      <c r="F68" s="98" t="s">
        <v>142</v>
      </c>
      <c r="G68" s="42" t="s">
        <v>167</v>
      </c>
      <c r="H68" s="77">
        <f>3000+4000+3000</f>
        <v>10000</v>
      </c>
      <c r="I68" s="71">
        <v>1.07</v>
      </c>
      <c r="J68" s="42">
        <f t="shared" si="1"/>
        <v>10700</v>
      </c>
    </row>
    <row r="69" ht="16.5" spans="1:10">
      <c r="A69" s="87"/>
      <c r="B69" s="62"/>
      <c r="C69" s="62"/>
      <c r="D69" s="63"/>
      <c r="E69" s="62"/>
      <c r="F69" s="99"/>
      <c r="G69" s="42" t="s">
        <v>168</v>
      </c>
      <c r="H69" s="77">
        <f>H68*0.01</f>
        <v>100</v>
      </c>
      <c r="I69" s="42">
        <v>0</v>
      </c>
      <c r="J69" s="42">
        <f t="shared" si="1"/>
        <v>0</v>
      </c>
    </row>
    <row r="70" ht="16.5" spans="1:10">
      <c r="A70" s="87"/>
      <c r="B70" s="62"/>
      <c r="C70" s="62"/>
      <c r="D70" s="63"/>
      <c r="E70" s="62"/>
      <c r="F70" s="98" t="s">
        <v>141</v>
      </c>
      <c r="G70" s="42" t="s">
        <v>167</v>
      </c>
      <c r="H70" s="42">
        <f>19+45+80+55+28</f>
        <v>227</v>
      </c>
      <c r="I70" s="42">
        <v>1.07</v>
      </c>
      <c r="J70" s="42">
        <f t="shared" si="1"/>
        <v>242.89</v>
      </c>
    </row>
    <row r="71" ht="16.5" spans="1:10">
      <c r="A71" s="87"/>
      <c r="B71" s="62"/>
      <c r="C71" s="62"/>
      <c r="D71" s="63"/>
      <c r="E71" s="62"/>
      <c r="F71" s="99"/>
      <c r="G71" s="42" t="s">
        <v>168</v>
      </c>
      <c r="H71" s="42">
        <v>2</v>
      </c>
      <c r="I71" s="42">
        <v>0</v>
      </c>
      <c r="J71" s="42">
        <f t="shared" si="1"/>
        <v>0</v>
      </c>
    </row>
    <row r="72" ht="16.5" spans="1:10">
      <c r="A72" s="87"/>
      <c r="B72" s="62"/>
      <c r="C72" s="62"/>
      <c r="D72" s="63"/>
      <c r="E72" s="62"/>
      <c r="F72" s="98" t="s">
        <v>142</v>
      </c>
      <c r="G72" s="42" t="s">
        <v>170</v>
      </c>
      <c r="H72" s="42">
        <f>10000*4*1.01</f>
        <v>40400</v>
      </c>
      <c r="I72" s="42">
        <v>0.042</v>
      </c>
      <c r="J72" s="42">
        <f t="shared" si="1"/>
        <v>1696.8</v>
      </c>
    </row>
    <row r="73" ht="16.5" spans="1:10">
      <c r="A73" s="87"/>
      <c r="B73" s="62"/>
      <c r="C73" s="62"/>
      <c r="D73" s="63"/>
      <c r="E73" s="62"/>
      <c r="F73" s="88"/>
      <c r="G73" s="42" t="s">
        <v>130</v>
      </c>
      <c r="H73" s="77">
        <f>3000*1.01</f>
        <v>3030</v>
      </c>
      <c r="I73" s="42">
        <v>0.24</v>
      </c>
      <c r="J73" s="42">
        <f t="shared" si="1"/>
        <v>727.2</v>
      </c>
    </row>
    <row r="74" ht="16.5" spans="1:10">
      <c r="A74" s="87"/>
      <c r="B74" s="62"/>
      <c r="C74" s="62"/>
      <c r="D74" s="63"/>
      <c r="E74" s="62"/>
      <c r="F74" s="88"/>
      <c r="G74" s="42" t="s">
        <v>171</v>
      </c>
      <c r="H74" s="77">
        <f>3000*1.01</f>
        <v>3030</v>
      </c>
      <c r="I74" s="42">
        <v>0.11</v>
      </c>
      <c r="J74" s="42">
        <f t="shared" si="1"/>
        <v>333.3</v>
      </c>
    </row>
    <row r="75" ht="16.5" spans="1:10">
      <c r="A75" s="87"/>
      <c r="B75" s="62"/>
      <c r="C75" s="62"/>
      <c r="D75" s="63"/>
      <c r="E75" s="62"/>
      <c r="F75" s="98" t="s">
        <v>141</v>
      </c>
      <c r="G75" s="42" t="s">
        <v>130</v>
      </c>
      <c r="H75" s="77">
        <v>6363</v>
      </c>
      <c r="I75" s="42">
        <v>0.24</v>
      </c>
      <c r="J75" s="42">
        <f t="shared" si="1"/>
        <v>1527.12</v>
      </c>
    </row>
    <row r="76" ht="16.5" spans="1:10">
      <c r="A76" s="87"/>
      <c r="B76" s="62"/>
      <c r="C76" s="62"/>
      <c r="D76" s="63"/>
      <c r="E76" s="62"/>
      <c r="F76" s="87" t="s">
        <v>177</v>
      </c>
      <c r="G76" s="42" t="s">
        <v>171</v>
      </c>
      <c r="H76" s="77">
        <f>6363+707</f>
        <v>7070</v>
      </c>
      <c r="I76" s="42">
        <v>0.11</v>
      </c>
      <c r="J76" s="42">
        <f t="shared" si="1"/>
        <v>777.7</v>
      </c>
    </row>
    <row r="77" ht="16.5" spans="1:10">
      <c r="A77" s="87">
        <v>45784</v>
      </c>
      <c r="B77" s="62" t="s">
        <v>119</v>
      </c>
      <c r="C77" s="62" t="s">
        <v>178</v>
      </c>
      <c r="D77" s="63" t="s">
        <v>179</v>
      </c>
      <c r="E77" s="62" t="s">
        <v>180</v>
      </c>
      <c r="F77" s="87" t="s">
        <v>181</v>
      </c>
      <c r="G77" s="42" t="s">
        <v>130</v>
      </c>
      <c r="H77" s="77">
        <v>16160</v>
      </c>
      <c r="I77" s="42">
        <v>0.24</v>
      </c>
      <c r="J77" s="42">
        <f t="shared" si="1"/>
        <v>3878.4</v>
      </c>
    </row>
    <row r="78" ht="16.5" spans="1:10">
      <c r="A78" s="87"/>
      <c r="B78" s="62"/>
      <c r="C78" s="62"/>
      <c r="D78" s="63"/>
      <c r="E78" s="62"/>
      <c r="F78" s="87"/>
      <c r="G78" s="42" t="s">
        <v>171</v>
      </c>
      <c r="H78" s="77">
        <v>16160</v>
      </c>
      <c r="I78" s="42">
        <v>0.11</v>
      </c>
      <c r="J78" s="42">
        <f t="shared" si="1"/>
        <v>1777.6</v>
      </c>
    </row>
    <row r="79" ht="16.5" spans="10:10">
      <c r="J79" s="126">
        <f>SUM(J3:J78)</f>
        <v>263675.56</v>
      </c>
    </row>
    <row r="81" spans="10:10">
      <c r="J81" s="25"/>
    </row>
    <row r="85" ht="28.5" spans="1:10">
      <c r="A85" s="48" t="s">
        <v>182</v>
      </c>
      <c r="B85" s="48"/>
      <c r="C85" s="48"/>
      <c r="D85" s="48"/>
      <c r="E85" s="48"/>
      <c r="F85" s="48"/>
      <c r="G85" s="48"/>
      <c r="H85" s="48"/>
      <c r="I85" s="48"/>
      <c r="J85" s="48"/>
    </row>
    <row r="86" ht="14.5" spans="1:10">
      <c r="A86" s="49" t="s">
        <v>183</v>
      </c>
      <c r="B86" s="49" t="s">
        <v>184</v>
      </c>
      <c r="C86" s="49" t="s">
        <v>185</v>
      </c>
      <c r="D86" s="49" t="s">
        <v>186</v>
      </c>
      <c r="E86" s="49" t="s">
        <v>187</v>
      </c>
      <c r="F86" s="50" t="s">
        <v>188</v>
      </c>
      <c r="G86" s="49" t="s">
        <v>189</v>
      </c>
      <c r="H86" s="49" t="s">
        <v>190</v>
      </c>
      <c r="I86" s="49" t="s">
        <v>191</v>
      </c>
      <c r="J86" s="49" t="s">
        <v>192</v>
      </c>
    </row>
    <row r="87" ht="28.5" spans="1:10">
      <c r="A87" s="49"/>
      <c r="B87" s="49"/>
      <c r="C87" s="49"/>
      <c r="D87" s="49" t="s">
        <v>193</v>
      </c>
      <c r="E87" s="49"/>
      <c r="F87" s="50" t="s">
        <v>194</v>
      </c>
      <c r="G87" s="49"/>
      <c r="H87" s="49"/>
      <c r="I87" s="51" t="s">
        <v>195</v>
      </c>
      <c r="J87" s="49"/>
    </row>
    <row r="88" spans="1:10">
      <c r="A88" s="100">
        <v>1</v>
      </c>
      <c r="B88" s="101">
        <v>45824</v>
      </c>
      <c r="C88" s="102" t="s">
        <v>196</v>
      </c>
      <c r="D88" s="102" t="s">
        <v>197</v>
      </c>
      <c r="E88" s="103" t="s">
        <v>198</v>
      </c>
      <c r="F88" s="103" t="s">
        <v>199</v>
      </c>
      <c r="G88" s="103" t="s">
        <v>200</v>
      </c>
      <c r="H88" s="103">
        <v>36.7</v>
      </c>
      <c r="I88" s="127">
        <v>66670.42</v>
      </c>
      <c r="J88" s="103"/>
    </row>
    <row r="89" spans="1:11">
      <c r="A89" s="104"/>
      <c r="B89" s="105"/>
      <c r="C89" s="106"/>
      <c r="D89" s="106"/>
      <c r="E89" s="103" t="s">
        <v>201</v>
      </c>
      <c r="F89" s="103" t="s">
        <v>199</v>
      </c>
      <c r="G89" s="103" t="s">
        <v>200</v>
      </c>
      <c r="H89" s="103">
        <v>28.7</v>
      </c>
      <c r="I89" s="128"/>
      <c r="J89" s="103"/>
      <c r="K89">
        <f>72098.89-I88</f>
        <v>5428.47</v>
      </c>
    </row>
    <row r="90" spans="1:10">
      <c r="A90" s="107"/>
      <c r="B90" s="108"/>
      <c r="C90" s="109"/>
      <c r="D90" s="109"/>
      <c r="E90" s="103" t="s">
        <v>198</v>
      </c>
      <c r="F90" s="103" t="s">
        <v>199</v>
      </c>
      <c r="G90" s="103" t="s">
        <v>200</v>
      </c>
      <c r="H90" s="103">
        <v>2.1</v>
      </c>
      <c r="I90" s="129"/>
      <c r="J90" s="103"/>
    </row>
    <row r="91" spans="1:10">
      <c r="A91" s="107"/>
      <c r="B91" s="108"/>
      <c r="C91" s="109"/>
      <c r="D91" s="109"/>
      <c r="E91" s="103" t="s">
        <v>201</v>
      </c>
      <c r="F91" s="103" t="s">
        <v>199</v>
      </c>
      <c r="G91" s="103" t="s">
        <v>200</v>
      </c>
      <c r="H91" s="103">
        <v>0.6</v>
      </c>
      <c r="I91" s="129"/>
      <c r="J91" s="103"/>
    </row>
    <row r="92" spans="1:10">
      <c r="A92" s="107"/>
      <c r="B92" s="108"/>
      <c r="C92" s="109"/>
      <c r="D92" s="109"/>
      <c r="E92" s="103" t="s">
        <v>202</v>
      </c>
      <c r="F92" s="103" t="s">
        <v>199</v>
      </c>
      <c r="G92" s="103" t="s">
        <v>200</v>
      </c>
      <c r="H92" s="103">
        <v>39.7</v>
      </c>
      <c r="I92" s="129"/>
      <c r="J92" s="103"/>
    </row>
    <row r="93" spans="1:10">
      <c r="A93" s="107"/>
      <c r="B93" s="108"/>
      <c r="C93" s="109"/>
      <c r="D93" s="109"/>
      <c r="E93" s="103" t="s">
        <v>203</v>
      </c>
      <c r="F93" s="103" t="s">
        <v>199</v>
      </c>
      <c r="G93" s="103" t="s">
        <v>200</v>
      </c>
      <c r="H93" s="103">
        <v>28.6</v>
      </c>
      <c r="I93" s="129"/>
      <c r="J93" s="103"/>
    </row>
    <row r="94" spans="1:10">
      <c r="A94" s="107"/>
      <c r="B94" s="108"/>
      <c r="C94" s="109"/>
      <c r="D94" s="109"/>
      <c r="E94" s="103" t="s">
        <v>204</v>
      </c>
      <c r="F94" s="103" t="s">
        <v>199</v>
      </c>
      <c r="G94" s="103" t="s">
        <v>200</v>
      </c>
      <c r="H94" s="103">
        <v>1545</v>
      </c>
      <c r="I94" s="129"/>
      <c r="J94" s="103"/>
    </row>
    <row r="95" spans="1:10">
      <c r="A95" s="110"/>
      <c r="B95" s="111"/>
      <c r="C95" s="112"/>
      <c r="D95" s="112"/>
      <c r="E95" s="103" t="s">
        <v>203</v>
      </c>
      <c r="F95" s="103" t="s">
        <v>199</v>
      </c>
      <c r="G95" s="103" t="s">
        <v>200</v>
      </c>
      <c r="H95" s="103">
        <v>7.19</v>
      </c>
      <c r="I95" s="130"/>
      <c r="J95" s="103"/>
    </row>
    <row r="96" spans="1:10">
      <c r="A96" s="113">
        <v>1</v>
      </c>
      <c r="B96" s="114">
        <v>45824</v>
      </c>
      <c r="C96" s="115" t="s">
        <v>196</v>
      </c>
      <c r="D96" s="115" t="s">
        <v>197</v>
      </c>
      <c r="E96" s="116" t="s">
        <v>198</v>
      </c>
      <c r="F96" s="116" t="s">
        <v>199</v>
      </c>
      <c r="G96" s="116" t="s">
        <v>200</v>
      </c>
      <c r="H96" s="116">
        <v>38.6</v>
      </c>
      <c r="I96" s="131">
        <v>111627.85</v>
      </c>
      <c r="J96" s="116"/>
    </row>
    <row r="97" spans="1:10">
      <c r="A97" s="117"/>
      <c r="B97" s="118"/>
      <c r="C97" s="119"/>
      <c r="D97" s="119"/>
      <c r="E97" s="116" t="s">
        <v>201</v>
      </c>
      <c r="F97" s="116" t="s">
        <v>199</v>
      </c>
      <c r="G97" s="116" t="s">
        <v>200</v>
      </c>
      <c r="H97" s="116">
        <v>24</v>
      </c>
      <c r="I97" s="132"/>
      <c r="J97" s="116"/>
    </row>
    <row r="98" spans="1:10">
      <c r="A98" s="120"/>
      <c r="B98" s="121"/>
      <c r="C98" s="122"/>
      <c r="D98" s="122"/>
      <c r="E98" s="116" t="s">
        <v>202</v>
      </c>
      <c r="F98" s="116" t="s">
        <v>199</v>
      </c>
      <c r="G98" s="116" t="s">
        <v>200</v>
      </c>
      <c r="H98" s="116">
        <v>83.2</v>
      </c>
      <c r="I98" s="133"/>
      <c r="J98" s="116"/>
    </row>
    <row r="99" spans="1:10">
      <c r="A99" s="120"/>
      <c r="B99" s="121"/>
      <c r="C99" s="122"/>
      <c r="D99" s="122"/>
      <c r="E99" s="116" t="s">
        <v>198</v>
      </c>
      <c r="F99" s="116" t="s">
        <v>199</v>
      </c>
      <c r="G99" s="116" t="s">
        <v>200</v>
      </c>
      <c r="H99" s="116">
        <v>15.1</v>
      </c>
      <c r="I99" s="133"/>
      <c r="J99" s="116"/>
    </row>
    <row r="100" spans="1:10">
      <c r="A100" s="120"/>
      <c r="B100" s="121"/>
      <c r="C100" s="122"/>
      <c r="D100" s="122"/>
      <c r="E100" s="116" t="s">
        <v>201</v>
      </c>
      <c r="F100" s="116" t="s">
        <v>199</v>
      </c>
      <c r="G100" s="116" t="s">
        <v>200</v>
      </c>
      <c r="H100" s="116">
        <v>9</v>
      </c>
      <c r="I100" s="133"/>
      <c r="J100" s="116"/>
    </row>
    <row r="101" spans="1:10">
      <c r="A101" s="120"/>
      <c r="B101" s="121"/>
      <c r="C101" s="122"/>
      <c r="D101" s="122"/>
      <c r="E101" s="116" t="s">
        <v>202</v>
      </c>
      <c r="F101" s="116" t="s">
        <v>199</v>
      </c>
      <c r="G101" s="116" t="s">
        <v>200</v>
      </c>
      <c r="H101" s="116">
        <v>35.3</v>
      </c>
      <c r="I101" s="133"/>
      <c r="J101" s="116"/>
    </row>
    <row r="102" spans="1:10">
      <c r="A102" s="120"/>
      <c r="B102" s="121"/>
      <c r="C102" s="122"/>
      <c r="D102" s="122"/>
      <c r="E102" s="116" t="s">
        <v>204</v>
      </c>
      <c r="F102" s="116" t="s">
        <v>199</v>
      </c>
      <c r="G102" s="116" t="s">
        <v>200</v>
      </c>
      <c r="H102" s="116">
        <v>2600</v>
      </c>
      <c r="I102" s="133"/>
      <c r="J102" s="116"/>
    </row>
    <row r="103" spans="1:10">
      <c r="A103" s="120"/>
      <c r="B103" s="121"/>
      <c r="C103" s="122"/>
      <c r="D103" s="122"/>
      <c r="E103" s="116" t="s">
        <v>198</v>
      </c>
      <c r="F103" s="116" t="s">
        <v>199</v>
      </c>
      <c r="G103" s="116" t="s">
        <v>200</v>
      </c>
      <c r="H103" s="116">
        <v>15.3</v>
      </c>
      <c r="I103" s="133"/>
      <c r="J103" s="116"/>
    </row>
    <row r="104" spans="1:10">
      <c r="A104" s="120"/>
      <c r="B104" s="121"/>
      <c r="C104" s="122"/>
      <c r="D104" s="122"/>
      <c r="E104" s="116" t="s">
        <v>201</v>
      </c>
      <c r="F104" s="116" t="s">
        <v>199</v>
      </c>
      <c r="G104" s="116" t="s">
        <v>200</v>
      </c>
      <c r="H104" s="116">
        <v>9.8</v>
      </c>
      <c r="I104" s="133"/>
      <c r="J104" s="116"/>
    </row>
    <row r="105" spans="1:10">
      <c r="A105" s="120"/>
      <c r="B105" s="121"/>
      <c r="C105" s="122"/>
      <c r="D105" s="122"/>
      <c r="E105" s="116" t="s">
        <v>205</v>
      </c>
      <c r="F105" s="116" t="s">
        <v>199</v>
      </c>
      <c r="G105" s="116" t="s">
        <v>200</v>
      </c>
      <c r="H105" s="116">
        <v>7</v>
      </c>
      <c r="I105" s="133"/>
      <c r="J105" s="116"/>
    </row>
    <row r="106" spans="1:10">
      <c r="A106" s="120"/>
      <c r="B106" s="121"/>
      <c r="C106" s="122"/>
      <c r="D106" s="122"/>
      <c r="E106" s="116" t="s">
        <v>203</v>
      </c>
      <c r="F106" s="116" t="s">
        <v>199</v>
      </c>
      <c r="G106" s="116" t="s">
        <v>200</v>
      </c>
      <c r="H106" s="116">
        <v>26.1</v>
      </c>
      <c r="I106" s="133"/>
      <c r="J106" s="116"/>
    </row>
    <row r="107" spans="1:10">
      <c r="A107" s="123"/>
      <c r="B107" s="124"/>
      <c r="C107" s="125"/>
      <c r="D107" s="125"/>
      <c r="E107" s="116" t="s">
        <v>203</v>
      </c>
      <c r="F107" s="116" t="s">
        <v>199</v>
      </c>
      <c r="G107" s="116" t="s">
        <v>200</v>
      </c>
      <c r="H107" s="116">
        <v>7.19</v>
      </c>
      <c r="I107" s="134"/>
      <c r="J107" s="116"/>
    </row>
  </sheetData>
  <autoFilter xmlns:etc="http://www.wps.cn/officeDocument/2017/etCustomData" ref="A1:J79" etc:filterBottomFollowUsedRange="0">
    <extLst/>
  </autoFilter>
  <mergeCells count="90">
    <mergeCell ref="A1:J1"/>
    <mergeCell ref="A85:J85"/>
    <mergeCell ref="A3:A8"/>
    <mergeCell ref="A9:A19"/>
    <mergeCell ref="A20:A28"/>
    <mergeCell ref="A29:A39"/>
    <mergeCell ref="A40:A46"/>
    <mergeCell ref="A48:A50"/>
    <mergeCell ref="A51:A55"/>
    <mergeCell ref="A56:A58"/>
    <mergeCell ref="A59:A67"/>
    <mergeCell ref="A68:A76"/>
    <mergeCell ref="A77:A78"/>
    <mergeCell ref="A86:A87"/>
    <mergeCell ref="A88:A95"/>
    <mergeCell ref="A96:A107"/>
    <mergeCell ref="B3:B8"/>
    <mergeCell ref="B9:B19"/>
    <mergeCell ref="B20:B28"/>
    <mergeCell ref="B29:B39"/>
    <mergeCell ref="B40:B46"/>
    <mergeCell ref="B48:B50"/>
    <mergeCell ref="B51:B55"/>
    <mergeCell ref="B56:B58"/>
    <mergeCell ref="B59:B67"/>
    <mergeCell ref="B68:B76"/>
    <mergeCell ref="B77:B78"/>
    <mergeCell ref="B86:B87"/>
    <mergeCell ref="B88:B95"/>
    <mergeCell ref="B96:B107"/>
    <mergeCell ref="C3:C8"/>
    <mergeCell ref="C9:C19"/>
    <mergeCell ref="C20:C28"/>
    <mergeCell ref="C29:C39"/>
    <mergeCell ref="C40:C46"/>
    <mergeCell ref="C48:C50"/>
    <mergeCell ref="C51:C55"/>
    <mergeCell ref="C56:C58"/>
    <mergeCell ref="C59:C67"/>
    <mergeCell ref="C68:C76"/>
    <mergeCell ref="C77:C78"/>
    <mergeCell ref="C86:C87"/>
    <mergeCell ref="C88:C95"/>
    <mergeCell ref="C96:C107"/>
    <mergeCell ref="D3:D8"/>
    <mergeCell ref="D9:D19"/>
    <mergeCell ref="D20:D28"/>
    <mergeCell ref="D29:D39"/>
    <mergeCell ref="D40:D46"/>
    <mergeCell ref="D48:D50"/>
    <mergeCell ref="D51:D55"/>
    <mergeCell ref="D56:D58"/>
    <mergeCell ref="D59:D67"/>
    <mergeCell ref="D68:D76"/>
    <mergeCell ref="D77:D78"/>
    <mergeCell ref="D88:D95"/>
    <mergeCell ref="D96:D107"/>
    <mergeCell ref="E3:E8"/>
    <mergeCell ref="E9:E19"/>
    <mergeCell ref="E20:E28"/>
    <mergeCell ref="E29:E39"/>
    <mergeCell ref="E40:E46"/>
    <mergeCell ref="E48:E50"/>
    <mergeCell ref="E51:E55"/>
    <mergeCell ref="E56:E58"/>
    <mergeCell ref="E59:E67"/>
    <mergeCell ref="E68:E76"/>
    <mergeCell ref="E77:E78"/>
    <mergeCell ref="E86:E87"/>
    <mergeCell ref="F3:F8"/>
    <mergeCell ref="F9:F10"/>
    <mergeCell ref="F11:F13"/>
    <mergeCell ref="F15:F19"/>
    <mergeCell ref="F20:F21"/>
    <mergeCell ref="F24:F28"/>
    <mergeCell ref="F29:F39"/>
    <mergeCell ref="F40:F41"/>
    <mergeCell ref="F42:F43"/>
    <mergeCell ref="F51:F55"/>
    <mergeCell ref="F56:F58"/>
    <mergeCell ref="F59:F67"/>
    <mergeCell ref="F68:F69"/>
    <mergeCell ref="F70:F71"/>
    <mergeCell ref="F72:F74"/>
    <mergeCell ref="F77:F78"/>
    <mergeCell ref="G86:G87"/>
    <mergeCell ref="H86:H87"/>
    <mergeCell ref="I88:I95"/>
    <mergeCell ref="I96:I107"/>
    <mergeCell ref="J86:J8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 t="shared" ref="J26:J30" si="2"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 t="shared" si="2"/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 t="shared" si="2"/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 t="shared" si="2"/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 t="shared" si="2"/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3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3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3"/>
        <v>2100.21</v>
      </c>
    </row>
    <row r="35" ht="16.5" spans="1:10">
      <c r="A35" s="27">
        <v>45730</v>
      </c>
      <c r="B35" s="28" t="s">
        <v>119</v>
      </c>
      <c r="C35" s="28" t="s">
        <v>120</v>
      </c>
      <c r="D35" s="70" t="s">
        <v>121</v>
      </c>
      <c r="E35" s="28" t="s">
        <v>122</v>
      </c>
      <c r="F35" s="64" t="s">
        <v>123</v>
      </c>
      <c r="G35" s="42" t="s">
        <v>124</v>
      </c>
      <c r="H35" s="71">
        <f>32000*1.02</f>
        <v>32640</v>
      </c>
      <c r="I35" s="65">
        <v>1.07</v>
      </c>
      <c r="J35" s="65">
        <f t="shared" si="3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3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3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3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3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3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3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4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4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4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4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4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4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4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4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4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4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4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4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4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4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4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4"/>
        <v>2520</v>
      </c>
    </row>
    <row r="59" ht="16.5" spans="1:10">
      <c r="A59" s="27">
        <v>45742</v>
      </c>
      <c r="B59" s="28" t="s">
        <v>206</v>
      </c>
      <c r="C59" s="28" t="s">
        <v>143</v>
      </c>
      <c r="D59" s="70" t="s">
        <v>144</v>
      </c>
      <c r="E59" s="28" t="s">
        <v>145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4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4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4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4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4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4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4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4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4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4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4"/>
        <v>14275.8</v>
      </c>
    </row>
    <row r="70" ht="16.5" spans="1:10">
      <c r="A70" s="27">
        <v>45761</v>
      </c>
      <c r="B70" s="28" t="s">
        <v>206</v>
      </c>
      <c r="C70" s="28" t="s">
        <v>137</v>
      </c>
      <c r="D70" s="70" t="s">
        <v>158</v>
      </c>
      <c r="E70" s="28" t="s">
        <v>159</v>
      </c>
      <c r="F70" s="64" t="s">
        <v>140</v>
      </c>
      <c r="G70" s="36" t="s">
        <v>22</v>
      </c>
      <c r="H70" s="77">
        <f>38000*0.01</f>
        <v>380</v>
      </c>
      <c r="I70" s="36">
        <v>0.11</v>
      </c>
      <c r="J70" s="36">
        <f t="shared" si="4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132</v>
      </c>
      <c r="H71" s="77">
        <f>38000*0.01*4</f>
        <v>1520</v>
      </c>
      <c r="I71" s="36">
        <v>0.042</v>
      </c>
      <c r="J71" s="36">
        <f t="shared" si="4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133</v>
      </c>
      <c r="H72" s="77">
        <v>1935</v>
      </c>
      <c r="I72" s="36">
        <v>0.85</v>
      </c>
      <c r="J72" s="36">
        <f t="shared" si="4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134</v>
      </c>
      <c r="H73" s="42">
        <v>19</v>
      </c>
      <c r="I73" s="36">
        <v>0</v>
      </c>
      <c r="J73" s="36">
        <f t="shared" si="4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136</v>
      </c>
      <c r="H74" s="77">
        <f>48+105+135+90+45</f>
        <v>423</v>
      </c>
      <c r="I74" s="36">
        <v>0.15</v>
      </c>
      <c r="J74" s="36">
        <f t="shared" si="4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207</v>
      </c>
      <c r="C3" s="28">
        <v>17476</v>
      </c>
      <c r="D3" s="45" t="s">
        <v>208</v>
      </c>
      <c r="E3" s="46" t="s">
        <v>209</v>
      </c>
      <c r="F3" s="47" t="s">
        <v>210</v>
      </c>
      <c r="G3" s="42" t="s">
        <v>211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182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183</v>
      </c>
      <c r="B8" s="49" t="s">
        <v>184</v>
      </c>
      <c r="C8" s="49" t="s">
        <v>185</v>
      </c>
      <c r="D8" s="49" t="s">
        <v>186</v>
      </c>
      <c r="E8" s="49" t="s">
        <v>187</v>
      </c>
      <c r="F8" s="50" t="s">
        <v>188</v>
      </c>
      <c r="G8" s="49" t="s">
        <v>189</v>
      </c>
      <c r="H8" s="49" t="s">
        <v>190</v>
      </c>
      <c r="I8" s="49" t="s">
        <v>191</v>
      </c>
      <c r="J8" s="49" t="s">
        <v>192</v>
      </c>
    </row>
    <row r="9" ht="28.5" spans="1:10">
      <c r="A9" s="49"/>
      <c r="B9" s="49"/>
      <c r="C9" s="49"/>
      <c r="D9" s="49" t="s">
        <v>193</v>
      </c>
      <c r="E9" s="49"/>
      <c r="F9" s="50" t="s">
        <v>194</v>
      </c>
      <c r="G9" s="49"/>
      <c r="H9" s="49"/>
      <c r="I9" s="51" t="s">
        <v>195</v>
      </c>
      <c r="J9" s="49"/>
    </row>
    <row r="10" ht="28" spans="1:10">
      <c r="A10" s="51">
        <v>1</v>
      </c>
      <c r="B10" s="52">
        <v>45747</v>
      </c>
      <c r="C10" s="49" t="s">
        <v>196</v>
      </c>
      <c r="D10" s="49" t="s">
        <v>197</v>
      </c>
      <c r="E10" s="49" t="s">
        <v>204</v>
      </c>
      <c r="F10" s="49" t="s">
        <v>212</v>
      </c>
      <c r="G10" s="49" t="s">
        <v>213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214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215</v>
      </c>
      <c r="B2" s="5" t="s">
        <v>216</v>
      </c>
      <c r="C2" s="5" t="s">
        <v>217</v>
      </c>
      <c r="D2" s="6" t="s">
        <v>4</v>
      </c>
      <c r="E2" s="5" t="s">
        <v>218</v>
      </c>
      <c r="F2" s="7" t="s">
        <v>219</v>
      </c>
      <c r="G2" s="8" t="s">
        <v>220</v>
      </c>
      <c r="H2" s="9" t="s">
        <v>221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222</v>
      </c>
      <c r="D3" s="13" t="s">
        <v>223</v>
      </c>
      <c r="E3" s="12" t="s">
        <v>224</v>
      </c>
      <c r="F3" s="14" t="s">
        <v>225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226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227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228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229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4月Adela-国内</vt:lpstr>
      <vt:lpstr>4月Adela-孟加拉</vt:lpstr>
      <vt:lpstr>5月Emily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2025-06-16T09:29:32Z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9FAAFD8B5014488185594E6492FB333D_13</vt:lpwstr>
  </property>
</Properties>
</file>