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3" activeTab="4"/>
  </bookViews>
  <sheets>
    <sheet name="2024-5月-7月-已开票" sheetId="19" state="hidden" r:id="rId1"/>
    <sheet name="4月Adela-国内" sheetId="20" state="hidden" r:id="rId2"/>
    <sheet name="4月Adela-孟加拉" sheetId="29" state="hidden" r:id="rId3"/>
    <sheet name="8月Emily-人民币" sheetId="27" r:id="rId4"/>
    <sheet name="8月Emily-人民币 (2)" sheetId="31" r:id="rId5"/>
    <sheet name="8月Emily-美金" sheetId="30" r:id="rId6"/>
    <sheet name="4月Adela (2)" sheetId="28" state="hidden" r:id="rId7"/>
    <sheet name="12月miranda" sheetId="24" state="hidden" r:id="rId8"/>
    <sheet name="对账单" sheetId="26" state="hidden" r:id="rId9"/>
    <sheet name="4月已开票" sheetId="21" state="hidden" r:id="rId10"/>
  </sheets>
  <definedNames>
    <definedName name="_xlnm._FilterDatabase" localSheetId="0" hidden="1">'2024-5月-7月-已开票'!$A$2:$O$36</definedName>
    <definedName name="_xlnm._FilterDatabase" localSheetId="1" hidden="1">'4月Adela-国内'!$A$1:$J$63</definedName>
    <definedName name="_xlnm._FilterDatabase" localSheetId="2" hidden="1">'4月Adela-孟加拉'!$A$1:$J$4</definedName>
    <definedName name="_xlnm._FilterDatabase" localSheetId="3" hidden="1">'8月Emily-人民币'!$A$1:$J$67</definedName>
    <definedName name="_xlnm._FilterDatabase" localSheetId="4" hidden="1">'8月Emily-人民币 (2)'!$A$1:$J$67</definedName>
    <definedName name="_xlnm._FilterDatabase" localSheetId="5" hidden="1">'8月Emily-美金'!$A$1:$J$27</definedName>
    <definedName name="_xlnm._FilterDatabase" localSheetId="6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<sst xmlns="http://schemas.openxmlformats.org/spreadsheetml/2006/main" count="840" uniqueCount="261">
  <si>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</si>
  <si>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</si>
  <si>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</si>
  <si>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</si>
  <si>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</si>
  <si>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</si>
  <si>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</si>
  <si>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</si>
  <si>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</si>
  <si>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</si>
  <si>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</si>
  <si>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</si>
  <si>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</si>
  <si>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</si>
  <si>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</si>
  <si>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</si>
  <si>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</si>
  <si>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</si>
  <si>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</si>
  <si>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</si>
  <si>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</si>
  <si>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</si>
  <si>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</si>
  <si>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</si>
  <si>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</si>
  <si>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</si>
  <si>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</si>
  <si>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</si>
  <si>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</si>
  <si>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</si>
  <si>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</si>
  <si>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</si>
  <si>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</si>
  <si>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</si>
  <si>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</si>
  <si>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</si>
  <si>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</si>
  <si>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</si>
  <si>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</si>
  <si>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</si>
  <si>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</si>
  <si>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</si>
  <si>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</si>
  <si>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</si>
  <si>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</si>
  <si>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</si>
  <si>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</si>
  <si>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</si>
  <si>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</si>
  <si>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</si>
  <si>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</si>
  <si>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</si>
  <si>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</si>
  <si>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</si>
  <si>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</si>
  <si>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</si>
  <si>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</si>
  <si>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</si>
  <si>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</si>
  <si>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</si>
  <si>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白色缎带洗标CLBCGEN003*5页-60*25mm（加页码）</t>
  </si>
  <si>
    <t>RBSKNJTD015</t>
  </si>
  <si>
    <t>2025.1.23</t>
  </si>
  <si>
    <t>白色胶带洗标35*100mm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</si>
  <si>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</si>
  <si>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</si>
  <si>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</si>
  <si>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</si>
  <si>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RFID白织标-51*51mm（+3%）</t>
  </si>
  <si>
    <t>WLBCRFI005 RFID白织标-51*51mm-免费损耗1%</t>
  </si>
  <si>
    <t>WLBCRFI005 RFID白织标-51*51mm-大货样</t>
  </si>
  <si>
    <t>2025.2.18</t>
  </si>
  <si>
    <t>白色吊牌HPBCRFI001-60*95mm-RFID LOGO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</si>
  <si>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</si>
  <si>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</si>
  <si>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</si>
  <si>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</si>
  <si>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</si>
  <si>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2025.4.9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</si>
  <si>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</si>
  <si>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</si>
  <si>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</si>
  <si>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</si>
  <si>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</si>
  <si>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</si>
  <si>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</si>
  <si>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</si>
  <si>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WLBCRFI005 RFID白织标-51*51mm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</si>
  <si>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</si>
  <si>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</si>
  <si>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</si>
  <si>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</si>
  <si>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</si>
  <si>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</si>
  <si>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</si>
  <si>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WLBCRFI005 RFID白织标-51*51mm-免费大货样</t>
  </si>
  <si>
    <t>77272
77274</t>
  </si>
  <si>
    <t>RBSKNJTD024</t>
  </si>
  <si>
    <t>PALOMA 6770-046-800
BANGLADESH 男上装 翻单1</t>
  </si>
  <si>
    <t>76620
77608
77639</t>
  </si>
  <si>
    <t>RBSKNJTD027</t>
  </si>
  <si>
    <t>FOOTIE 6371-046-251
CHINA 男上装</t>
  </si>
  <si>
    <t>2025.4.11</t>
  </si>
  <si>
    <t>白色RFID织标WLBCRFI013-65*19mm</t>
  </si>
  <si>
    <t>白色RFID织标WLBCRFI013-65*19mm-免费损耗1%</t>
  </si>
  <si>
    <t>白色RFID织标WLBCRFI013-65*19mm-大货样</t>
  </si>
  <si>
    <t>白色缎带洗标CLBCGEN003*4页-60*25mm（加页码）</t>
  </si>
  <si>
    <t>BKKBXM24002 空白标（60*25mm）</t>
  </si>
  <si>
    <t>配比装胶带贴纸  BKSKR24014</t>
  </si>
  <si>
    <t>2025.4.21</t>
  </si>
  <si>
    <t>纸板-32cm*48cm-300g BKOTH25001</t>
  </si>
  <si>
    <t>油性拷贝纸-75*100cm-21g BKOTH25008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</si>
  <si>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</si>
  <si>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</si>
  <si>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</si>
  <si>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</si>
  <si>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</si>
  <si>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Emily</t>
  </si>
  <si>
    <t>79331
80506
80507
80510
80511
80512
80513
80514
80515
80516
80517
81755</t>
  </si>
  <si>
    <t>RBSKNJTD049</t>
  </si>
  <si>
    <t>PANTHER 5424-046-829/400/711
Cambodia 男裤子</t>
  </si>
  <si>
    <t>2025.6.13</t>
  </si>
  <si>
    <t>2025.6.2</t>
  </si>
  <si>
    <t>腰卡（WTBCGEN225）-88*82mmSUPER BAGGY-829色（+1%）</t>
  </si>
  <si>
    <t>2025.6.11</t>
  </si>
  <si>
    <t>腰卡（WTBCGEN225）-88*82mmSUPER BAGGY-400、711色</t>
  </si>
  <si>
    <t>白色缎带洗标CLBCGEN003*4页-60*25mm-829色（+1%）</t>
  </si>
  <si>
    <t>白色缎带洗标CLBCGEN003*4页-60*25mm-400、711色</t>
  </si>
  <si>
    <t>白色RFID织标WLBCRFI011-85*20mm</t>
  </si>
  <si>
    <t>白色RFID织标WLBCRFI011-85*20mm-免费损耗1%</t>
  </si>
  <si>
    <t>白色RFID织标WLBCRFI011-85*20mm-大货样</t>
  </si>
  <si>
    <t>2025.6.24</t>
  </si>
  <si>
    <t>2025.7.18</t>
  </si>
  <si>
    <t>2025.7.17</t>
  </si>
  <si>
    <t>白色缎带洗标CLBCGEN003*4页-60*25mm-711色</t>
  </si>
  <si>
    <t>缎带BSK警告标  ADBCGEN002-120*55mm</t>
  </si>
  <si>
    <t>83749
83752</t>
  </si>
  <si>
    <t>RBSKNJTD057</t>
  </si>
  <si>
    <t>PIZZA 6819-046-800
BANGLADESH 男上装</t>
  </si>
  <si>
    <t>2025.6.26</t>
  </si>
  <si>
    <t>黑色织标WLBCRFI006-51*51mm-RFID</t>
  </si>
  <si>
    <t>黑色织标WLBCRFI006-51*51mm-免费损耗1%</t>
  </si>
  <si>
    <t>黑色织标WLBCRFI006-51*51mm-大货样</t>
  </si>
  <si>
    <t>普通拷贝纸-75*100cm-BKOTH25005</t>
  </si>
  <si>
    <t>白底黑字U织标BKWOL24029-36*18mm</t>
  </si>
  <si>
    <t>RBSKNJTD061</t>
  </si>
  <si>
    <t>PIZZA 6819-046-800
BANGLADESH 男上装 补单</t>
  </si>
  <si>
    <t>2025.7.9</t>
  </si>
  <si>
    <t>RBSKNJTD062</t>
  </si>
  <si>
    <t>PIZZA 6819-046-800
BANGLADESH 男上装 翻单1</t>
  </si>
  <si>
    <t>黑色织标WLBCRFI006-51*51mm-RFID（+3%）</t>
  </si>
  <si>
    <t>2025.7.10</t>
  </si>
  <si>
    <r>
      <rPr>
        <sz val="11"/>
        <color theme="1"/>
        <rFont val="微软雅黑"/>
        <charset val="134"/>
      </rPr>
      <t xml:space="preserve">84841
</t>
    </r>
    <r>
      <rPr>
        <sz val="11"/>
        <rFont val="微软雅黑"/>
        <charset val="134"/>
      </rPr>
      <t>86308</t>
    </r>
  </si>
  <si>
    <t>RBSKNJTD070</t>
  </si>
  <si>
    <t>CORE 6416-046-400
China 男衬衫</t>
  </si>
  <si>
    <t>2025.7.27</t>
  </si>
  <si>
    <t>空白标BKKBXM24002（60*25mm）</t>
  </si>
  <si>
    <t>2025.7.31</t>
  </si>
  <si>
    <t>吊牌HPBCGEN005（BKHTP25002）-60*95mm</t>
  </si>
  <si>
    <t>2025.8.7</t>
  </si>
  <si>
    <t>贴纸吊牌STBCGEN001（BKSK25007）-40*71mm</t>
  </si>
  <si>
    <t>黑色 吊绳 MRBCGEN004-320*1.5mm</t>
  </si>
  <si>
    <t>2025.7.28</t>
  </si>
  <si>
    <t>织标WLBCGEN036（BKWOL25003）65*19mm</t>
  </si>
  <si>
    <t>84312
86975</t>
  </si>
  <si>
    <t>RBSKNJTD076</t>
  </si>
  <si>
    <t>CHRISBROWN 6412-046-406/700
China 男衬衫</t>
  </si>
  <si>
    <t>2025.8.13</t>
  </si>
  <si>
    <t>2025.8.10</t>
  </si>
  <si>
    <t>84841
86308</t>
  </si>
  <si>
    <t>RBSKNJTD080</t>
  </si>
  <si>
    <t>CORE 6416-046-400
China 男衬衫 补单</t>
  </si>
  <si>
    <t>2025.8.20</t>
  </si>
  <si>
    <t>6776-046款差额</t>
  </si>
  <si>
    <t>5419-046款差额</t>
  </si>
  <si>
    <t>6793-046款差额</t>
  </si>
  <si>
    <t>5420-046款差额</t>
  </si>
  <si>
    <t>共</t>
  </si>
  <si>
    <t>5424-046款差额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</si>
  <si>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</si>
  <si>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</si>
  <si>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</si>
  <si>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</si>
  <si>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</si>
  <si>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</si>
  <si>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</si>
  <si>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</si>
  <si>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</si>
  <si>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</si>
  <si>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</si>
  <si>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</si>
  <si>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</si>
  <si>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</si>
  <si>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</si>
  <si>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佰益进服装南京有限公司</t>
  </si>
  <si>
    <t>按客户要求开</t>
  </si>
  <si>
    <t>6819-046</t>
  </si>
  <si>
    <t>2025.3.25</t>
  </si>
  <si>
    <r>
      <rPr>
        <sz val="11"/>
        <color theme="1"/>
        <rFont val="微软雅黑"/>
        <charset val="134"/>
      </rPr>
      <t xml:space="preserve">77271
77276
77277
</t>
    </r>
    <r>
      <rPr>
        <sz val="11"/>
        <rFont val="微软雅黑"/>
        <charset val="134"/>
      </rPr>
      <t>77278
77279
77280
77281
77340</t>
    </r>
  </si>
  <si>
    <t>RBSKNJTD025</t>
  </si>
  <si>
    <t>MISO 5419-046-600.800
BANGLADESH 男下装 裤子</t>
  </si>
  <si>
    <t>2025.7.12</t>
  </si>
  <si>
    <t>白色吊牌HPBCRFI001-60*95mm-RFID LOGO-损耗1%</t>
  </si>
  <si>
    <t>2025.7.13</t>
  </si>
  <si>
    <t>2025.5.19</t>
  </si>
  <si>
    <r>
      <rPr>
        <sz val="11"/>
        <color rgb="FFFF0000"/>
        <rFont val="微软雅黑"/>
        <charset val="134"/>
      </rPr>
      <t>79331</t>
    </r>
    <r>
      <rPr>
        <sz val="11"/>
        <color theme="1"/>
        <rFont val="微软雅黑"/>
        <charset val="134"/>
      </rPr>
      <t xml:space="preserve">-81755
80506
80507
</t>
    </r>
    <r>
      <rPr>
        <sz val="11"/>
        <color rgb="FFFF0000"/>
        <rFont val="微软雅黑"/>
        <charset val="134"/>
      </rPr>
      <t xml:space="preserve">80510
</t>
    </r>
    <r>
      <rPr>
        <sz val="11"/>
        <rFont val="微软雅黑"/>
        <charset val="134"/>
      </rPr>
      <t>80511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80512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80513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80514</t>
    </r>
    <r>
      <rPr>
        <sz val="11"/>
        <color theme="1"/>
        <rFont val="微软雅黑"/>
        <charset val="134"/>
      </rPr>
      <t xml:space="preserve">
</t>
    </r>
    <r>
      <rPr>
        <sz val="11"/>
        <rFont val="微软雅黑"/>
        <charset val="134"/>
      </rPr>
      <t>80515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80516</t>
    </r>
    <r>
      <rPr>
        <sz val="11"/>
        <color theme="1"/>
        <rFont val="微软雅黑"/>
        <charset val="134"/>
      </rPr>
      <t xml:space="preserve">
80517</t>
    </r>
  </si>
  <si>
    <t>PANTHER 5424-046-829.400.711
Cambodia 男裤子</t>
  </si>
  <si>
    <t>2025.7.24</t>
  </si>
  <si>
    <t>2025.7.30</t>
  </si>
  <si>
    <t>2025.8.4</t>
  </si>
  <si>
    <t>2025.8.12</t>
  </si>
  <si>
    <t>2025.8.11</t>
  </si>
  <si>
    <t>2025.8.19</t>
  </si>
  <si>
    <t>腰卡（WTBCGEN225）-88*82mmSUPER BAGGY-711色</t>
  </si>
  <si>
    <t>2025.7.26</t>
  </si>
  <si>
    <t>2025.8.6</t>
  </si>
  <si>
    <t>2025.6.23</t>
  </si>
  <si>
    <t>补单</t>
  </si>
  <si>
    <t>RBSKNJTD071</t>
  </si>
  <si>
    <t>MISO 6776-046-800
BANGLADESH 男上装 夹克 翻单4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</si>
  <si>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</si>
  <si>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</si>
  <si>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</si>
  <si>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</si>
  <si>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</si>
  <si>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Emily
吊绳单独放</t>
  </si>
  <si>
    <t>77253
77468</t>
  </si>
  <si>
    <t>RBSKNJTD026</t>
  </si>
  <si>
    <t>MISO 6776-046-600/800
BANGLADESH 男上装 夹克 加单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</si>
  <si>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</si>
  <si>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</si>
  <si>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</si>
  <si>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</si>
  <si>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</si>
  <si>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</si>
  <si>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</si>
  <si>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白色织标WLBCGEN020(06B）-85*20mm</t>
  </si>
  <si>
    <t>miranda</t>
  </si>
  <si>
    <t>RBSKNJTD012</t>
  </si>
  <si>
    <t>1003-409、415、416、051</t>
  </si>
  <si>
    <t>2024.12.21</t>
  </si>
  <si>
    <t>纸板-24.5cm*34.5cm-300gBKOTH24007</t>
  </si>
  <si>
    <t>纸板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</si>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</sst>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8" borderId="16" applyNumberFormat="0" applyAlignment="0" applyProtection="0">
      <alignment vertical="center"/>
    </xf>
    <xf numFmtId="0" fontId="31" fillId="8" borderId="15" applyNumberFormat="0" applyAlignment="0" applyProtection="0">
      <alignment vertical="center"/>
    </xf>
    <xf numFmtId="0" fontId="32" fillId="9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horizontal="center" vertical="center"/>
    </xf>
    <xf numFmtId="0" fontId="41" fillId="0" borderId="0">
      <alignment horizontal="center" vertical="center"/>
    </xf>
    <xf numFmtId="0" fontId="41" fillId="0" borderId="0">
      <alignment horizontal="center" vertical="center"/>
    </xf>
    <xf numFmtId="0" fontId="42" fillId="0" borderId="0">
      <alignment vertical="center"/>
    </xf>
    <xf numFmtId="0" fontId="0" fillId="0" borderId="0">
      <alignment vertical="center"/>
    </xf>
    <xf numFmtId="0" fontId="41" fillId="0" borderId="0">
      <alignment horizontal="center" vertical="center"/>
    </xf>
  </cellStyleXfs>
  <cellXfs count="1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4" fillId="0" borderId="9" xfId="0" applyFont="1" applyFill="1" applyBorder="1" applyAlignment="1">
      <alignment horizontal="center" vertical="center"/>
    </xf>
    <xf numFmtId="58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8" fontId="15" fillId="0" borderId="1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22" t="s">
        <v>14</v>
      </c>
    </row>
    <row r="3" ht="16.5" spans="1:15">
      <c r="A3" s="122">
        <v>45439</v>
      </c>
      <c r="B3" s="14" t="s">
        <v>15</v>
      </c>
      <c r="C3" s="123">
        <v>54401</v>
      </c>
      <c r="D3" s="124" t="s">
        <v>16</v>
      </c>
      <c r="E3" s="123" t="s">
        <v>17</v>
      </c>
      <c r="F3" s="123" t="s">
        <v>18</v>
      </c>
      <c r="G3" s="125">
        <v>10500</v>
      </c>
      <c r="H3" s="125">
        <f t="shared" ref="H3:H32" si="0">G3-I3</f>
        <v>500</v>
      </c>
      <c r="I3" s="123">
        <v>10000</v>
      </c>
      <c r="J3" s="19">
        <v>0.368</v>
      </c>
      <c r="K3" s="132">
        <f t="shared" ref="K3:K35" si="1">I3*J3</f>
        <v>3680</v>
      </c>
      <c r="L3" s="11" t="s">
        <v>19</v>
      </c>
      <c r="M3" s="19">
        <v>21028</v>
      </c>
      <c r="N3" s="19">
        <v>0.368</v>
      </c>
      <c r="O3" s="19">
        <v>7738.304</v>
      </c>
    </row>
    <row r="4" ht="16.5" spans="1:15">
      <c r="A4" s="122"/>
      <c r="B4" s="14"/>
      <c r="C4" s="123"/>
      <c r="D4" s="124"/>
      <c r="E4" s="123"/>
      <c r="F4" s="126">
        <v>45476</v>
      </c>
      <c r="G4" s="125">
        <v>11582</v>
      </c>
      <c r="H4" s="125">
        <f t="shared" si="0"/>
        <v>554</v>
      </c>
      <c r="I4" s="123">
        <v>11028</v>
      </c>
      <c r="J4" s="19">
        <v>0.368</v>
      </c>
      <c r="K4" s="132">
        <f t="shared" si="1"/>
        <v>4058.304</v>
      </c>
      <c r="L4" s="133"/>
      <c r="M4" s="19"/>
      <c r="N4" s="19"/>
      <c r="O4" s="19"/>
    </row>
    <row r="5" ht="16.5" spans="1:15">
      <c r="A5" s="122"/>
      <c r="B5" s="14"/>
      <c r="C5" s="123"/>
      <c r="D5" s="124"/>
      <c r="E5" s="123"/>
      <c r="F5" s="123" t="s">
        <v>18</v>
      </c>
      <c r="G5" s="125">
        <v>10500</v>
      </c>
      <c r="H5" s="125">
        <f t="shared" si="0"/>
        <v>500</v>
      </c>
      <c r="I5" s="123">
        <v>10000</v>
      </c>
      <c r="J5" s="14">
        <f>0.042*8</f>
        <v>0.336</v>
      </c>
      <c r="K5" s="132">
        <f t="shared" si="1"/>
        <v>3360</v>
      </c>
      <c r="L5" s="132" t="s">
        <v>20</v>
      </c>
      <c r="M5" s="19">
        <v>21028</v>
      </c>
      <c r="N5" s="14">
        <f>0.042*8</f>
        <v>0.336</v>
      </c>
      <c r="O5" s="19">
        <v>7065.408</v>
      </c>
    </row>
    <row r="6" ht="16" customHeight="1" spans="1:15">
      <c r="A6" s="122"/>
      <c r="B6" s="14"/>
      <c r="C6" s="123"/>
      <c r="D6" s="124"/>
      <c r="E6" s="123"/>
      <c r="F6" s="126">
        <v>45476</v>
      </c>
      <c r="G6" s="125">
        <v>11583</v>
      </c>
      <c r="H6" s="125">
        <f t="shared" si="0"/>
        <v>555</v>
      </c>
      <c r="I6" s="123">
        <v>11028</v>
      </c>
      <c r="J6" s="14">
        <f>0.042*8</f>
        <v>0.336</v>
      </c>
      <c r="K6" s="132">
        <f t="shared" si="1"/>
        <v>3705.408</v>
      </c>
      <c r="L6" s="134"/>
      <c r="M6" s="19"/>
      <c r="N6" s="19"/>
      <c r="O6" s="19"/>
    </row>
    <row r="7" ht="16" customHeight="1" spans="1:15">
      <c r="A7" s="122"/>
      <c r="B7" s="14"/>
      <c r="C7" s="123"/>
      <c r="D7" s="124"/>
      <c r="E7" s="123"/>
      <c r="F7" s="126">
        <v>45476</v>
      </c>
      <c r="G7" s="125">
        <v>22079.4</v>
      </c>
      <c r="H7" s="125">
        <f t="shared" si="0"/>
        <v>1051.4</v>
      </c>
      <c r="I7" s="123">
        <v>21028</v>
      </c>
      <c r="J7" s="19">
        <v>0.294</v>
      </c>
      <c r="K7" s="132">
        <f t="shared" si="1"/>
        <v>6182.232</v>
      </c>
      <c r="L7" s="19" t="s">
        <v>21</v>
      </c>
      <c r="M7" s="19">
        <v>21028</v>
      </c>
      <c r="N7" s="19">
        <v>0.294</v>
      </c>
      <c r="O7" s="19">
        <v>6182.232</v>
      </c>
    </row>
    <row r="8" ht="16" customHeight="1" spans="1:15">
      <c r="A8" s="122"/>
      <c r="B8" s="14"/>
      <c r="C8" s="123"/>
      <c r="D8" s="124"/>
      <c r="E8" s="123"/>
      <c r="F8" s="126">
        <v>45476</v>
      </c>
      <c r="G8" s="125">
        <v>22079.4</v>
      </c>
      <c r="H8" s="125">
        <f t="shared" si="0"/>
        <v>1051.4</v>
      </c>
      <c r="I8" s="123">
        <v>21028</v>
      </c>
      <c r="J8" s="19">
        <v>0.116</v>
      </c>
      <c r="K8" s="132">
        <f t="shared" si="1"/>
        <v>2439.248</v>
      </c>
      <c r="L8" s="19" t="s">
        <v>22</v>
      </c>
      <c r="M8" s="19">
        <v>21028</v>
      </c>
      <c r="N8" s="19">
        <v>0.116</v>
      </c>
      <c r="O8" s="19">
        <v>2439.248</v>
      </c>
    </row>
    <row r="9" ht="16.5" spans="1:15">
      <c r="A9" s="122">
        <v>45439</v>
      </c>
      <c r="B9" s="14" t="s">
        <v>15</v>
      </c>
      <c r="C9" s="123">
        <v>54404</v>
      </c>
      <c r="D9" s="124" t="s">
        <v>23</v>
      </c>
      <c r="E9" s="123" t="s">
        <v>24</v>
      </c>
      <c r="F9" s="126">
        <v>45470</v>
      </c>
      <c r="G9" s="125">
        <f>I9*1.05</f>
        <v>31500</v>
      </c>
      <c r="H9" s="125">
        <f t="shared" si="0"/>
        <v>1500</v>
      </c>
      <c r="I9" s="123">
        <v>30000</v>
      </c>
      <c r="J9" s="19">
        <v>0.368</v>
      </c>
      <c r="K9" s="132">
        <f t="shared" si="1"/>
        <v>11040</v>
      </c>
      <c r="L9" s="11" t="s">
        <v>19</v>
      </c>
      <c r="M9" s="19">
        <v>31526</v>
      </c>
      <c r="N9" s="19">
        <v>0.368</v>
      </c>
      <c r="O9" s="19">
        <v>11601.568</v>
      </c>
    </row>
    <row r="10" ht="16.5" spans="1:15">
      <c r="A10" s="122"/>
      <c r="B10" s="14"/>
      <c r="C10" s="123"/>
      <c r="D10" s="124"/>
      <c r="E10" s="123"/>
      <c r="F10" s="126">
        <v>45476</v>
      </c>
      <c r="G10" s="125">
        <v>1605</v>
      </c>
      <c r="H10" s="125">
        <f t="shared" si="0"/>
        <v>79</v>
      </c>
      <c r="I10" s="123">
        <v>1526</v>
      </c>
      <c r="J10" s="19">
        <v>0.368</v>
      </c>
      <c r="K10" s="132">
        <f t="shared" si="1"/>
        <v>561.568</v>
      </c>
      <c r="L10" s="133"/>
      <c r="M10" s="19"/>
      <c r="N10" s="14"/>
      <c r="O10" s="19"/>
    </row>
    <row r="11" ht="16.5" spans="1:15">
      <c r="A11" s="122"/>
      <c r="B11" s="14"/>
      <c r="C11" s="123"/>
      <c r="D11" s="124"/>
      <c r="E11" s="123"/>
      <c r="F11" s="126">
        <v>45470</v>
      </c>
      <c r="G11" s="125">
        <f>I11*1.05</f>
        <v>31500</v>
      </c>
      <c r="H11" s="125">
        <f t="shared" si="0"/>
        <v>1500</v>
      </c>
      <c r="I11" s="123">
        <v>30000</v>
      </c>
      <c r="J11" s="14">
        <f>0.042*6</f>
        <v>0.252</v>
      </c>
      <c r="K11" s="132">
        <f t="shared" si="1"/>
        <v>7560</v>
      </c>
      <c r="L11" s="132" t="s">
        <v>25</v>
      </c>
      <c r="M11" s="19">
        <f>189156/6</f>
        <v>31526</v>
      </c>
      <c r="N11" s="14">
        <f>0.042*6</f>
        <v>0.252</v>
      </c>
      <c r="O11" s="19">
        <v>7944.552</v>
      </c>
    </row>
    <row r="12" ht="16" customHeight="1" spans="1:15">
      <c r="A12" s="122"/>
      <c r="B12" s="14"/>
      <c r="C12" s="123"/>
      <c r="D12" s="124"/>
      <c r="E12" s="123"/>
      <c r="F12" s="126">
        <v>45476</v>
      </c>
      <c r="G12" s="125">
        <v>1607</v>
      </c>
      <c r="H12" s="125">
        <f t="shared" si="0"/>
        <v>81</v>
      </c>
      <c r="I12" s="123">
        <v>1526</v>
      </c>
      <c r="J12" s="14">
        <f>0.042*6</f>
        <v>0.252</v>
      </c>
      <c r="K12" s="132">
        <f t="shared" si="1"/>
        <v>384.552</v>
      </c>
      <c r="L12" s="134"/>
      <c r="M12" s="19"/>
      <c r="N12" s="19"/>
      <c r="O12" s="19"/>
    </row>
    <row r="13" ht="16" customHeight="1" spans="1:15">
      <c r="A13" s="122"/>
      <c r="B13" s="14"/>
      <c r="C13" s="123"/>
      <c r="D13" s="124"/>
      <c r="E13" s="123"/>
      <c r="F13" s="126">
        <v>45476</v>
      </c>
      <c r="G13" s="125">
        <v>33102</v>
      </c>
      <c r="H13" s="125">
        <f t="shared" si="0"/>
        <v>1576</v>
      </c>
      <c r="I13" s="123">
        <v>31526</v>
      </c>
      <c r="J13" s="19">
        <v>0.294</v>
      </c>
      <c r="K13" s="132">
        <f t="shared" si="1"/>
        <v>9268.644</v>
      </c>
      <c r="L13" s="19" t="s">
        <v>21</v>
      </c>
      <c r="M13" s="19">
        <v>31526</v>
      </c>
      <c r="N13" s="19">
        <v>0.294</v>
      </c>
      <c r="O13" s="19">
        <v>9268.644</v>
      </c>
    </row>
    <row r="14" ht="16" customHeight="1" spans="1:15">
      <c r="A14" s="122"/>
      <c r="B14" s="14"/>
      <c r="C14" s="123"/>
      <c r="D14" s="124"/>
      <c r="E14" s="123"/>
      <c r="F14" s="126">
        <v>45476</v>
      </c>
      <c r="G14" s="125">
        <v>33102</v>
      </c>
      <c r="H14" s="125">
        <f t="shared" si="0"/>
        <v>1576</v>
      </c>
      <c r="I14" s="123">
        <v>31526</v>
      </c>
      <c r="J14" s="19">
        <v>0.116</v>
      </c>
      <c r="K14" s="132">
        <f t="shared" si="1"/>
        <v>3657.016</v>
      </c>
      <c r="L14" s="19" t="s">
        <v>22</v>
      </c>
      <c r="M14" s="19">
        <v>31526</v>
      </c>
      <c r="N14" s="19">
        <v>0.116</v>
      </c>
      <c r="O14" s="19">
        <v>3657.016</v>
      </c>
    </row>
    <row r="15" ht="32" customHeight="1" spans="1:15">
      <c r="A15" s="122">
        <v>45477</v>
      </c>
      <c r="B15" s="14" t="s">
        <v>26</v>
      </c>
      <c r="C15" s="123">
        <v>58394</v>
      </c>
      <c r="D15" s="124" t="s">
        <v>27</v>
      </c>
      <c r="E15" s="123" t="s">
        <v>28</v>
      </c>
      <c r="F15" s="126">
        <v>45484</v>
      </c>
      <c r="G15" s="125">
        <f>I15*1.05</f>
        <v>771.75</v>
      </c>
      <c r="H15" s="125">
        <f t="shared" si="0"/>
        <v>36.75</v>
      </c>
      <c r="I15" s="123">
        <v>735</v>
      </c>
      <c r="J15" s="19">
        <v>0.254</v>
      </c>
      <c r="K15" s="132">
        <f t="shared" si="1"/>
        <v>186.69</v>
      </c>
      <c r="L15" s="19" t="s">
        <v>29</v>
      </c>
      <c r="M15" s="19">
        <v>735</v>
      </c>
      <c r="N15" s="19">
        <v>0.254</v>
      </c>
      <c r="O15" s="19">
        <v>186.69</v>
      </c>
    </row>
    <row r="16" ht="32" customHeight="1" spans="1:15">
      <c r="A16" s="122"/>
      <c r="B16" s="14"/>
      <c r="C16" s="123"/>
      <c r="D16" s="124"/>
      <c r="E16" s="123"/>
      <c r="F16" s="126">
        <v>45484</v>
      </c>
      <c r="G16" s="125">
        <f>I16*1.05</f>
        <v>771.75</v>
      </c>
      <c r="H16" s="125">
        <f t="shared" si="0"/>
        <v>36.75</v>
      </c>
      <c r="I16" s="123">
        <v>735</v>
      </c>
      <c r="J16" s="19">
        <v>0.15</v>
      </c>
      <c r="K16" s="132">
        <f t="shared" si="1"/>
        <v>110.25</v>
      </c>
      <c r="L16" s="19" t="s">
        <v>30</v>
      </c>
      <c r="M16" s="19">
        <v>735</v>
      </c>
      <c r="N16" s="19">
        <v>0.15</v>
      </c>
      <c r="O16" s="19">
        <v>110.25</v>
      </c>
    </row>
    <row r="17" ht="32" customHeight="1" spans="1:15">
      <c r="A17" s="122"/>
      <c r="B17" s="14"/>
      <c r="C17" s="123"/>
      <c r="D17" s="124"/>
      <c r="E17" s="123"/>
      <c r="F17" s="126">
        <v>45484</v>
      </c>
      <c r="G17" s="125">
        <v>2200</v>
      </c>
      <c r="H17" s="125">
        <f t="shared" si="0"/>
        <v>100</v>
      </c>
      <c r="I17" s="123">
        <v>2100</v>
      </c>
      <c r="J17" s="19">
        <v>0.12</v>
      </c>
      <c r="K17" s="132">
        <f t="shared" si="1"/>
        <v>252</v>
      </c>
      <c r="L17" s="132" t="s">
        <v>31</v>
      </c>
      <c r="M17" s="19"/>
      <c r="N17" s="19"/>
      <c r="O17" s="19"/>
    </row>
    <row r="18" ht="32" customHeight="1" spans="1:15">
      <c r="A18" s="122"/>
      <c r="B18" s="14"/>
      <c r="C18" s="123"/>
      <c r="D18" s="124"/>
      <c r="E18" s="123"/>
      <c r="F18" s="126">
        <v>45485</v>
      </c>
      <c r="G18" s="125">
        <v>30500</v>
      </c>
      <c r="H18" s="125">
        <f t="shared" si="0"/>
        <v>8</v>
      </c>
      <c r="I18" s="123">
        <v>30492</v>
      </c>
      <c r="J18" s="19">
        <v>0.12</v>
      </c>
      <c r="K18" s="132">
        <f t="shared" si="1"/>
        <v>3659.04</v>
      </c>
      <c r="L18" s="134"/>
      <c r="M18" s="19">
        <v>32592</v>
      </c>
      <c r="N18" s="19">
        <v>0.12</v>
      </c>
      <c r="O18" s="19">
        <v>3911.04</v>
      </c>
    </row>
    <row r="19" ht="16" customHeight="1" spans="1:15">
      <c r="A19" s="10">
        <v>45477</v>
      </c>
      <c r="B19" s="11" t="s">
        <v>26</v>
      </c>
      <c r="C19" s="12">
        <v>58401</v>
      </c>
      <c r="D19" s="13" t="s">
        <v>32</v>
      </c>
      <c r="E19" s="12" t="s">
        <v>33</v>
      </c>
      <c r="F19" s="127">
        <v>45484</v>
      </c>
      <c r="G19" s="125">
        <v>561</v>
      </c>
      <c r="H19" s="125">
        <f t="shared" si="0"/>
        <v>26</v>
      </c>
      <c r="I19" s="12">
        <v>535</v>
      </c>
      <c r="J19" s="19">
        <v>0.254</v>
      </c>
      <c r="K19" s="132">
        <f t="shared" si="1"/>
        <v>135.89</v>
      </c>
      <c r="L19" s="19" t="s">
        <v>29</v>
      </c>
      <c r="M19" s="19">
        <v>535</v>
      </c>
      <c r="N19" s="19">
        <v>0.254</v>
      </c>
      <c r="O19" s="19">
        <v>135.89</v>
      </c>
    </row>
    <row r="20" ht="16" customHeight="1" spans="1:15">
      <c r="A20" s="15"/>
      <c r="B20" s="16"/>
      <c r="C20" s="17"/>
      <c r="D20" s="18"/>
      <c r="E20" s="17"/>
      <c r="F20" s="127">
        <v>45484</v>
      </c>
      <c r="G20" s="125">
        <v>561</v>
      </c>
      <c r="H20" s="125">
        <f t="shared" si="0"/>
        <v>26</v>
      </c>
      <c r="I20" s="12">
        <v>535</v>
      </c>
      <c r="J20" s="19">
        <v>0.15</v>
      </c>
      <c r="K20" s="132">
        <f t="shared" si="1"/>
        <v>80.25</v>
      </c>
      <c r="L20" s="19" t="s">
        <v>30</v>
      </c>
      <c r="M20" s="19">
        <v>535</v>
      </c>
      <c r="N20" s="19">
        <v>0.15</v>
      </c>
      <c r="O20" s="19">
        <v>80.25</v>
      </c>
    </row>
    <row r="21" ht="16" customHeight="1" spans="1:15">
      <c r="A21" s="122">
        <v>45483</v>
      </c>
      <c r="B21" s="14" t="s">
        <v>26</v>
      </c>
      <c r="C21" s="123" t="s">
        <v>34</v>
      </c>
      <c r="D21" s="124" t="s">
        <v>35</v>
      </c>
      <c r="E21" s="123" t="s">
        <v>36</v>
      </c>
      <c r="F21" s="126">
        <v>45491</v>
      </c>
      <c r="G21" s="125">
        <f t="shared" ref="G21:G32" si="2">I21*1.05</f>
        <v>25213.65</v>
      </c>
      <c r="H21" s="125">
        <f t="shared" si="0"/>
        <v>1200.65</v>
      </c>
      <c r="I21" s="12">
        <v>24013</v>
      </c>
      <c r="J21" s="19">
        <v>0.368</v>
      </c>
      <c r="K21" s="132">
        <f t="shared" si="1"/>
        <v>8836.784</v>
      </c>
      <c r="L21" s="19" t="s">
        <v>37</v>
      </c>
      <c r="M21" s="19">
        <v>24013</v>
      </c>
      <c r="N21" s="19">
        <v>0.368</v>
      </c>
      <c r="O21" s="19">
        <v>8836.784</v>
      </c>
    </row>
    <row r="22" ht="16" customHeight="1" spans="1:15">
      <c r="A22" s="122"/>
      <c r="B22" s="14"/>
      <c r="C22" s="123"/>
      <c r="D22" s="124"/>
      <c r="E22" s="123"/>
      <c r="F22" s="126">
        <v>45491</v>
      </c>
      <c r="G22" s="125">
        <f t="shared" si="2"/>
        <v>25213.65</v>
      </c>
      <c r="H22" s="125">
        <f t="shared" si="0"/>
        <v>1200.65</v>
      </c>
      <c r="I22" s="12">
        <v>24013</v>
      </c>
      <c r="J22" s="14">
        <f>0.042*7</f>
        <v>0.294</v>
      </c>
      <c r="K22" s="132">
        <f t="shared" si="1"/>
        <v>7059.822</v>
      </c>
      <c r="L22" s="19" t="s">
        <v>38</v>
      </c>
      <c r="M22" s="19">
        <f>168091/7</f>
        <v>24013</v>
      </c>
      <c r="N22" s="14">
        <f>0.042*7</f>
        <v>0.294</v>
      </c>
      <c r="O22" s="19">
        <v>7059.822</v>
      </c>
    </row>
    <row r="23" ht="16" customHeight="1" spans="1:15">
      <c r="A23" s="122"/>
      <c r="B23" s="14"/>
      <c r="C23" s="123"/>
      <c r="D23" s="124"/>
      <c r="E23" s="123"/>
      <c r="F23" s="126">
        <v>45491</v>
      </c>
      <c r="G23" s="125">
        <f t="shared" si="2"/>
        <v>25213.65</v>
      </c>
      <c r="H23" s="125">
        <f t="shared" si="0"/>
        <v>1200.65</v>
      </c>
      <c r="I23" s="12">
        <v>24013</v>
      </c>
      <c r="J23" s="19">
        <v>0.294</v>
      </c>
      <c r="K23" s="132">
        <f t="shared" si="1"/>
        <v>7059.822</v>
      </c>
      <c r="L23" s="19" t="s">
        <v>21</v>
      </c>
      <c r="M23" s="19">
        <v>24013</v>
      </c>
      <c r="N23" s="19">
        <v>0.294</v>
      </c>
      <c r="O23" s="19">
        <v>7059.822</v>
      </c>
    </row>
    <row r="24" ht="16" customHeight="1" spans="1:15">
      <c r="A24" s="122"/>
      <c r="B24" s="14"/>
      <c r="C24" s="123"/>
      <c r="D24" s="124"/>
      <c r="E24" s="123"/>
      <c r="F24" s="126">
        <v>45491</v>
      </c>
      <c r="G24" s="125">
        <f t="shared" si="2"/>
        <v>25213.65</v>
      </c>
      <c r="H24" s="125">
        <f t="shared" si="0"/>
        <v>1200.65</v>
      </c>
      <c r="I24" s="12">
        <v>24013</v>
      </c>
      <c r="J24" s="19">
        <v>0.116</v>
      </c>
      <c r="K24" s="132">
        <f t="shared" si="1"/>
        <v>2785.508</v>
      </c>
      <c r="L24" s="19" t="s">
        <v>22</v>
      </c>
      <c r="M24" s="19">
        <v>24013</v>
      </c>
      <c r="N24" s="19">
        <v>0.116</v>
      </c>
      <c r="O24" s="19">
        <v>2785.508</v>
      </c>
    </row>
    <row r="25" ht="16" customHeight="1" spans="1:15">
      <c r="A25" s="122">
        <v>45492</v>
      </c>
      <c r="B25" s="14" t="s">
        <v>39</v>
      </c>
      <c r="C25" s="123" t="s">
        <v>40</v>
      </c>
      <c r="D25" s="124" t="s">
        <v>41</v>
      </c>
      <c r="E25" s="123" t="s">
        <v>42</v>
      </c>
      <c r="F25" s="126">
        <v>45503</v>
      </c>
      <c r="G25" s="125">
        <f t="shared" si="2"/>
        <v>10500</v>
      </c>
      <c r="H25" s="125">
        <f t="shared" si="0"/>
        <v>500</v>
      </c>
      <c r="I25" s="12">
        <v>10000</v>
      </c>
      <c r="J25" s="19">
        <v>0.368</v>
      </c>
      <c r="K25" s="132">
        <f t="shared" si="1"/>
        <v>3680</v>
      </c>
      <c r="L25" s="19" t="s">
        <v>37</v>
      </c>
      <c r="M25" s="19">
        <v>10000</v>
      </c>
      <c r="N25" s="19">
        <v>0.368</v>
      </c>
      <c r="O25" s="19">
        <v>3680</v>
      </c>
    </row>
    <row r="26" ht="16" customHeight="1" spans="1:15">
      <c r="A26" s="122"/>
      <c r="B26" s="14"/>
      <c r="C26" s="123"/>
      <c r="D26" s="124"/>
      <c r="E26" s="123"/>
      <c r="F26" s="126">
        <v>45503</v>
      </c>
      <c r="G26" s="125">
        <f t="shared" si="2"/>
        <v>10500</v>
      </c>
      <c r="H26" s="125">
        <f t="shared" si="0"/>
        <v>500</v>
      </c>
      <c r="I26" s="12">
        <v>10000</v>
      </c>
      <c r="J26" s="14">
        <f>0.042*7</f>
        <v>0.294</v>
      </c>
      <c r="K26" s="132">
        <f t="shared" si="1"/>
        <v>2940</v>
      </c>
      <c r="L26" s="19" t="s">
        <v>38</v>
      </c>
      <c r="M26" s="19">
        <f>70000/7</f>
        <v>10000</v>
      </c>
      <c r="N26" s="14">
        <f>0.042*7</f>
        <v>0.294</v>
      </c>
      <c r="O26" s="19">
        <v>2940</v>
      </c>
    </row>
    <row r="27" ht="16" customHeight="1" spans="1:15">
      <c r="A27" s="122"/>
      <c r="B27" s="14"/>
      <c r="C27" s="123"/>
      <c r="D27" s="124"/>
      <c r="E27" s="123"/>
      <c r="F27" s="126">
        <v>45503</v>
      </c>
      <c r="G27" s="125">
        <f t="shared" si="2"/>
        <v>10500</v>
      </c>
      <c r="H27" s="125">
        <f t="shared" si="0"/>
        <v>500</v>
      </c>
      <c r="I27" s="12">
        <v>10000</v>
      </c>
      <c r="J27" s="12">
        <v>0.294</v>
      </c>
      <c r="K27" s="12">
        <f t="shared" si="1"/>
        <v>2940</v>
      </c>
      <c r="L27" s="12" t="s">
        <v>21</v>
      </c>
      <c r="M27" s="12">
        <v>10000</v>
      </c>
      <c r="N27" s="12">
        <v>0.294</v>
      </c>
      <c r="O27" s="12">
        <v>2940</v>
      </c>
    </row>
    <row r="28" ht="16" customHeight="1" spans="1:15">
      <c r="A28" s="122"/>
      <c r="B28" s="14"/>
      <c r="C28" s="123"/>
      <c r="D28" s="124"/>
      <c r="E28" s="123"/>
      <c r="F28" s="126">
        <v>45503</v>
      </c>
      <c r="G28" s="125">
        <f t="shared" si="2"/>
        <v>10500</v>
      </c>
      <c r="H28" s="125">
        <f t="shared" si="0"/>
        <v>500</v>
      </c>
      <c r="I28" s="12">
        <v>10000</v>
      </c>
      <c r="J28" s="12">
        <v>0.116</v>
      </c>
      <c r="K28" s="12">
        <f t="shared" si="1"/>
        <v>1160</v>
      </c>
      <c r="L28" s="12" t="s">
        <v>22</v>
      </c>
      <c r="M28" s="12">
        <v>10000</v>
      </c>
      <c r="N28" s="12">
        <v>0.116</v>
      </c>
      <c r="O28" s="12">
        <v>1160</v>
      </c>
    </row>
    <row r="29" ht="16" customHeight="1" spans="1:15">
      <c r="A29" s="122">
        <v>45499</v>
      </c>
      <c r="B29" s="14" t="s">
        <v>39</v>
      </c>
      <c r="C29" s="123" t="s">
        <v>43</v>
      </c>
      <c r="D29" s="124" t="s">
        <v>44</v>
      </c>
      <c r="E29" s="123" t="s">
        <v>45</v>
      </c>
      <c r="F29" s="126">
        <v>45503</v>
      </c>
      <c r="G29" s="125">
        <f t="shared" si="2"/>
        <v>9765</v>
      </c>
      <c r="H29" s="125">
        <f t="shared" si="0"/>
        <v>465</v>
      </c>
      <c r="I29" s="12">
        <v>9300</v>
      </c>
      <c r="J29" s="12">
        <v>0.368</v>
      </c>
      <c r="K29" s="12">
        <f t="shared" si="1"/>
        <v>3422.4</v>
      </c>
      <c r="L29" s="12" t="s">
        <v>37</v>
      </c>
      <c r="M29" s="12">
        <v>9300</v>
      </c>
      <c r="N29" s="12">
        <v>0.368</v>
      </c>
      <c r="O29" s="12">
        <v>3422.4</v>
      </c>
    </row>
    <row r="30" ht="16" customHeight="1" spans="1:15">
      <c r="A30" s="122"/>
      <c r="B30" s="14"/>
      <c r="C30" s="123"/>
      <c r="D30" s="124"/>
      <c r="E30" s="123"/>
      <c r="F30" s="126">
        <v>45503</v>
      </c>
      <c r="G30" s="125">
        <f t="shared" si="2"/>
        <v>9765</v>
      </c>
      <c r="H30" s="125">
        <f t="shared" si="0"/>
        <v>465</v>
      </c>
      <c r="I30" s="12">
        <v>9300</v>
      </c>
      <c r="J30" s="12">
        <f>0.042*7</f>
        <v>0.294</v>
      </c>
      <c r="K30" s="12">
        <f t="shared" si="1"/>
        <v>2734.2</v>
      </c>
      <c r="L30" s="12" t="s">
        <v>38</v>
      </c>
      <c r="M30" s="12">
        <f>65100/7</f>
        <v>9300</v>
      </c>
      <c r="N30" s="12">
        <f>0.042*7</f>
        <v>0.294</v>
      </c>
      <c r="O30" s="12">
        <v>2734.2</v>
      </c>
    </row>
    <row r="31" ht="16" customHeight="1" spans="1:15">
      <c r="A31" s="122"/>
      <c r="B31" s="14"/>
      <c r="C31" s="123"/>
      <c r="D31" s="124"/>
      <c r="E31" s="123"/>
      <c r="F31" s="126">
        <v>45506</v>
      </c>
      <c r="G31" s="125">
        <f t="shared" si="2"/>
        <v>9765</v>
      </c>
      <c r="H31" s="125">
        <f t="shared" si="0"/>
        <v>465</v>
      </c>
      <c r="I31" s="12">
        <v>9300</v>
      </c>
      <c r="J31" s="12">
        <v>0.294</v>
      </c>
      <c r="K31" s="12">
        <f t="shared" si="1"/>
        <v>2734.2</v>
      </c>
      <c r="L31" s="12" t="s">
        <v>21</v>
      </c>
      <c r="M31" s="12">
        <v>9300</v>
      </c>
      <c r="N31" s="12">
        <v>0.294</v>
      </c>
      <c r="O31" s="12">
        <v>2734.2</v>
      </c>
    </row>
    <row r="32" ht="16" customHeight="1" spans="1:15">
      <c r="A32" s="122"/>
      <c r="B32" s="14"/>
      <c r="C32" s="123"/>
      <c r="D32" s="124"/>
      <c r="E32" s="123"/>
      <c r="F32" s="126">
        <v>45506</v>
      </c>
      <c r="G32" s="125">
        <f t="shared" si="2"/>
        <v>9765</v>
      </c>
      <c r="H32" s="125">
        <f t="shared" si="0"/>
        <v>465</v>
      </c>
      <c r="I32" s="12">
        <v>9300</v>
      </c>
      <c r="J32" s="12">
        <v>0.116</v>
      </c>
      <c r="K32" s="12">
        <f t="shared" si="1"/>
        <v>1078.8</v>
      </c>
      <c r="L32" s="12" t="s">
        <v>22</v>
      </c>
      <c r="M32" s="12">
        <v>9300</v>
      </c>
      <c r="N32" s="12">
        <v>0.116</v>
      </c>
      <c r="O32" s="12">
        <v>1078.8</v>
      </c>
    </row>
    <row r="33" ht="49.5" spans="1:15">
      <c r="A33" s="128">
        <v>45439</v>
      </c>
      <c r="B33" s="129" t="s">
        <v>15</v>
      </c>
      <c r="C33" s="130">
        <v>54401</v>
      </c>
      <c r="D33" s="131" t="s">
        <v>16</v>
      </c>
      <c r="E33" s="130" t="s">
        <v>17</v>
      </c>
      <c r="F33" s="123" t="s">
        <v>46</v>
      </c>
      <c r="G33" s="12">
        <v>0</v>
      </c>
      <c r="H33" s="12">
        <v>0</v>
      </c>
      <c r="I33" s="12">
        <v>10000</v>
      </c>
      <c r="J33" s="14">
        <v>0.042</v>
      </c>
      <c r="K33" s="132">
        <f t="shared" si="1"/>
        <v>420</v>
      </c>
      <c r="L33" s="19" t="s">
        <v>47</v>
      </c>
      <c r="M33" s="19">
        <v>10000</v>
      </c>
      <c r="N33" s="14">
        <v>0.042</v>
      </c>
      <c r="O33" s="19">
        <v>420</v>
      </c>
    </row>
    <row r="34" ht="49.5" spans="1:15">
      <c r="A34" s="128">
        <v>45439</v>
      </c>
      <c r="B34" s="129" t="s">
        <v>15</v>
      </c>
      <c r="C34" s="130">
        <v>54404</v>
      </c>
      <c r="D34" s="131" t="s">
        <v>23</v>
      </c>
      <c r="E34" s="130" t="s">
        <v>24</v>
      </c>
      <c r="F34" s="123" t="s">
        <v>46</v>
      </c>
      <c r="G34" s="12">
        <v>0</v>
      </c>
      <c r="H34" s="12">
        <v>0</v>
      </c>
      <c r="I34" s="12">
        <v>30000</v>
      </c>
      <c r="J34" s="14">
        <v>0.042</v>
      </c>
      <c r="K34" s="132">
        <f t="shared" si="1"/>
        <v>1260</v>
      </c>
      <c r="L34" s="19" t="s">
        <v>47</v>
      </c>
      <c r="M34" s="19">
        <v>30000</v>
      </c>
      <c r="N34" s="14">
        <v>0.042</v>
      </c>
      <c r="O34" s="19">
        <v>1260</v>
      </c>
    </row>
    <row r="35" ht="66" spans="1:15">
      <c r="A35" s="122">
        <v>45477</v>
      </c>
      <c r="B35" s="14" t="s">
        <v>26</v>
      </c>
      <c r="C35" s="123">
        <v>58401</v>
      </c>
      <c r="D35" s="124" t="s">
        <v>32</v>
      </c>
      <c r="E35" s="123" t="s">
        <v>33</v>
      </c>
      <c r="F35" s="126">
        <v>45484</v>
      </c>
      <c r="G35" s="125">
        <v>32552</v>
      </c>
      <c r="H35" s="125">
        <f>G35-I35</f>
        <v>1550</v>
      </c>
      <c r="I35" s="12">
        <v>31002</v>
      </c>
      <c r="J35" s="19">
        <v>0.1</v>
      </c>
      <c r="K35" s="132">
        <f t="shared" si="1"/>
        <v>3100.2</v>
      </c>
      <c r="L35" s="19" t="s">
        <v>48</v>
      </c>
      <c r="M35" s="19">
        <v>31002</v>
      </c>
      <c r="N35" s="19">
        <v>0.1</v>
      </c>
      <c r="O35" s="19">
        <v>3100.2</v>
      </c>
    </row>
    <row r="36" ht="17.5" spans="1:15">
      <c r="A36" s="20" t="s">
        <v>49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3"/>
      <c r="O36" s="40">
        <f>SUM(O3:O35)</f>
        <v>111532.828</v>
      </c>
    </row>
    <row r="37" ht="17.5" spans="1: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245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246</v>
      </c>
      <c r="B2" s="5" t="s">
        <v>247</v>
      </c>
      <c r="C2" s="5" t="s">
        <v>248</v>
      </c>
      <c r="D2" s="6" t="s">
        <v>4</v>
      </c>
      <c r="E2" s="5" t="s">
        <v>249</v>
      </c>
      <c r="F2" s="7" t="s">
        <v>250</v>
      </c>
      <c r="G2" s="8" t="s">
        <v>251</v>
      </c>
      <c r="H2" s="9" t="s">
        <v>252</v>
      </c>
      <c r="I2" s="22" t="s">
        <v>51</v>
      </c>
    </row>
    <row r="3" s="1" customFormat="1" ht="16" customHeight="1" spans="1:9">
      <c r="A3" s="10">
        <v>45404</v>
      </c>
      <c r="B3" s="11" t="s">
        <v>15</v>
      </c>
      <c r="C3" s="12" t="s">
        <v>253</v>
      </c>
      <c r="D3" s="13" t="s">
        <v>254</v>
      </c>
      <c r="E3" s="12" t="s">
        <v>255</v>
      </c>
      <c r="F3" s="14" t="s">
        <v>256</v>
      </c>
      <c r="G3" s="14">
        <v>32500</v>
      </c>
      <c r="H3" s="14">
        <v>0.13</v>
      </c>
      <c r="I3" s="14">
        <f t="shared" ref="I3:I9" si="0">G3*H3</f>
        <v>4225</v>
      </c>
    </row>
    <row r="4" s="1" customFormat="1" ht="16" customHeight="1" spans="1:9">
      <c r="A4" s="15"/>
      <c r="B4" s="16"/>
      <c r="C4" s="17"/>
      <c r="D4" s="18"/>
      <c r="E4" s="17"/>
      <c r="F4" s="14" t="s">
        <v>257</v>
      </c>
      <c r="G4" s="14">
        <f>G3*4</f>
        <v>130000</v>
      </c>
      <c r="H4" s="14">
        <v>0.042</v>
      </c>
      <c r="I4" s="14">
        <f t="shared" si="0"/>
        <v>5460</v>
      </c>
    </row>
    <row r="5" s="1" customFormat="1" ht="16" customHeight="1" spans="1:9">
      <c r="A5" s="15"/>
      <c r="B5" s="16"/>
      <c r="C5" s="17"/>
      <c r="D5" s="18"/>
      <c r="E5" s="17"/>
      <c r="F5" s="19" t="s">
        <v>258</v>
      </c>
      <c r="G5" s="19">
        <v>32500</v>
      </c>
      <c r="H5" s="19">
        <v>0.03</v>
      </c>
      <c r="I5" s="19">
        <f t="shared" si="0"/>
        <v>975</v>
      </c>
    </row>
    <row r="6" s="1" customFormat="1" ht="16" customHeight="1" spans="1:9">
      <c r="A6" s="15"/>
      <c r="B6" s="16"/>
      <c r="C6" s="17"/>
      <c r="D6" s="18"/>
      <c r="E6" s="17"/>
      <c r="F6" s="19" t="s">
        <v>259</v>
      </c>
      <c r="G6" s="19">
        <v>32500</v>
      </c>
      <c r="H6" s="19">
        <v>0.25</v>
      </c>
      <c r="I6" s="19">
        <f t="shared" si="0"/>
        <v>8125</v>
      </c>
    </row>
    <row r="7" s="1" customFormat="1" ht="16" customHeight="1" spans="1:9">
      <c r="A7" s="15"/>
      <c r="B7" s="16"/>
      <c r="C7" s="17"/>
      <c r="D7" s="18"/>
      <c r="E7" s="17"/>
      <c r="F7" s="19" t="s">
        <v>21</v>
      </c>
      <c r="G7" s="19">
        <v>32500</v>
      </c>
      <c r="H7" s="19">
        <v>0.294</v>
      </c>
      <c r="I7" s="19">
        <f t="shared" si="0"/>
        <v>9555</v>
      </c>
    </row>
    <row r="8" s="1" customFormat="1" ht="16" customHeight="1" spans="1:9">
      <c r="A8" s="15"/>
      <c r="B8" s="16"/>
      <c r="C8" s="17"/>
      <c r="D8" s="18"/>
      <c r="E8" s="17"/>
      <c r="F8" s="19" t="s">
        <v>260</v>
      </c>
      <c r="G8" s="19">
        <v>32500</v>
      </c>
      <c r="H8" s="19">
        <v>0</v>
      </c>
      <c r="I8" s="19">
        <f t="shared" si="0"/>
        <v>0</v>
      </c>
    </row>
    <row r="9" s="1" customFormat="1" ht="16" customHeight="1" spans="1:9">
      <c r="A9" s="15"/>
      <c r="B9" s="16"/>
      <c r="C9" s="17"/>
      <c r="D9" s="18"/>
      <c r="E9" s="17"/>
      <c r="F9" s="19" t="s">
        <v>22</v>
      </c>
      <c r="G9" s="19">
        <v>32500</v>
      </c>
      <c r="H9" s="19">
        <v>0.116</v>
      </c>
      <c r="I9" s="19">
        <f t="shared" si="0"/>
        <v>3770</v>
      </c>
    </row>
    <row r="10" s="1" customFormat="1" ht="17.5" spans="1:9">
      <c r="A10" s="20" t="s">
        <v>49</v>
      </c>
      <c r="B10" s="20"/>
      <c r="C10" s="20"/>
      <c r="D10" s="20"/>
      <c r="E10" s="20"/>
      <c r="F10" s="20"/>
      <c r="G10" s="20"/>
      <c r="H10" s="20"/>
      <c r="I10" s="23">
        <f>SUM(I3:I9)</f>
        <v>32110</v>
      </c>
    </row>
    <row r="11" s="1" customFormat="1" ht="17.5" spans="1:9">
      <c r="A11" s="21"/>
      <c r="B11" s="21"/>
      <c r="C11" s="21"/>
      <c r="D11" s="21"/>
      <c r="E11" s="21"/>
      <c r="F11" s="21"/>
      <c r="G11" s="21"/>
      <c r="H11" s="21"/>
      <c r="I11" s="21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workbookViewId="0">
      <selection activeCell="E17" sqref="E17:E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47" t="s">
        <v>54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f>42000/7</f>
        <v>6000</v>
      </c>
      <c r="I4" s="75">
        <f>0.042*7</f>
        <v>0.294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57">
        <v>45663</v>
      </c>
      <c r="B7" s="36" t="s">
        <v>39</v>
      </c>
      <c r="C7" s="28" t="s">
        <v>55</v>
      </c>
      <c r="D7" s="56" t="s">
        <v>56</v>
      </c>
      <c r="E7" s="27" t="s">
        <v>57</v>
      </c>
      <c r="F7" s="58" t="s">
        <v>58</v>
      </c>
      <c r="G7" s="31" t="s">
        <v>59</v>
      </c>
      <c r="H7" s="42">
        <v>8526</v>
      </c>
      <c r="I7" s="42">
        <v>0.35</v>
      </c>
      <c r="J7" s="42">
        <f t="shared" si="0"/>
        <v>2984.1</v>
      </c>
    </row>
    <row r="8" s="1" customFormat="1" ht="16.5" spans="1:10">
      <c r="A8" s="59"/>
      <c r="B8" s="36"/>
      <c r="C8" s="28"/>
      <c r="D8" s="56"/>
      <c r="E8" s="60"/>
      <c r="F8" s="58" t="s">
        <v>58</v>
      </c>
      <c r="G8" s="31" t="s">
        <v>60</v>
      </c>
      <c r="H8" s="42">
        <f>H7</f>
        <v>8526</v>
      </c>
      <c r="I8" s="42">
        <f>0.042*5</f>
        <v>0.21</v>
      </c>
      <c r="J8" s="42">
        <f t="shared" si="0"/>
        <v>1790.46</v>
      </c>
    </row>
    <row r="9" s="1" customFormat="1" ht="16.5" spans="1:11">
      <c r="A9" s="59"/>
      <c r="B9" s="36"/>
      <c r="C9" s="28"/>
      <c r="D9" s="56"/>
      <c r="E9" s="60"/>
      <c r="F9" s="58" t="s">
        <v>58</v>
      </c>
      <c r="G9" s="31" t="s">
        <v>21</v>
      </c>
      <c r="H9" s="42">
        <v>8526</v>
      </c>
      <c r="I9" s="42">
        <v>0.28</v>
      </c>
      <c r="J9" s="42">
        <f t="shared" si="0"/>
        <v>2387.28</v>
      </c>
      <c r="K9" s="76"/>
    </row>
    <row r="10" s="1" customFormat="1" ht="16.5" spans="1:10">
      <c r="A10" s="61"/>
      <c r="B10" s="36"/>
      <c r="C10" s="28"/>
      <c r="D10" s="56"/>
      <c r="E10" s="60"/>
      <c r="F10" s="58"/>
      <c r="G10" s="31" t="s">
        <v>22</v>
      </c>
      <c r="H10" s="42">
        <v>8526</v>
      </c>
      <c r="I10" s="42">
        <v>0.11</v>
      </c>
      <c r="J10" s="42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61</v>
      </c>
      <c r="E11" s="35" t="s">
        <v>43</v>
      </c>
      <c r="F11" s="35" t="s">
        <v>62</v>
      </c>
      <c r="G11" s="31" t="s">
        <v>63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64</v>
      </c>
      <c r="D12" s="29" t="s">
        <v>65</v>
      </c>
      <c r="E12" s="28" t="s">
        <v>66</v>
      </c>
      <c r="F12" s="30" t="s">
        <v>67</v>
      </c>
      <c r="G12" s="31" t="s">
        <v>68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69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70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71</v>
      </c>
      <c r="G15" s="31" t="s">
        <v>72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71</v>
      </c>
      <c r="G16" s="31" t="s">
        <v>73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27">
        <v>45701</v>
      </c>
      <c r="B17" s="28" t="s">
        <v>39</v>
      </c>
      <c r="C17" s="62" t="s">
        <v>74</v>
      </c>
      <c r="D17" s="63" t="s">
        <v>75</v>
      </c>
      <c r="E17" s="62" t="s">
        <v>76</v>
      </c>
      <c r="F17" s="64" t="s">
        <v>77</v>
      </c>
      <c r="G17" s="42" t="s">
        <v>68</v>
      </c>
      <c r="H17" s="65">
        <f>6077+4223</f>
        <v>10300</v>
      </c>
      <c r="I17" s="65">
        <v>1.07</v>
      </c>
      <c r="J17" s="65">
        <f t="shared" si="0"/>
        <v>11021</v>
      </c>
      <c r="K17" s="40"/>
    </row>
    <row r="18" s="1" customFormat="1" ht="16.5" spans="1:11">
      <c r="A18" s="27"/>
      <c r="B18" s="28"/>
      <c r="C18" s="66"/>
      <c r="D18" s="63"/>
      <c r="E18" s="62"/>
      <c r="F18" s="67"/>
      <c r="G18" s="42" t="s">
        <v>69</v>
      </c>
      <c r="H18" s="65">
        <f>10000*0.01</f>
        <v>100</v>
      </c>
      <c r="I18" s="65">
        <v>0</v>
      </c>
      <c r="J18" s="65">
        <v>0</v>
      </c>
      <c r="K18" s="40"/>
    </row>
    <row r="19" s="1" customFormat="1" ht="16.5" spans="1:11">
      <c r="A19" s="27"/>
      <c r="B19" s="28"/>
      <c r="C19" s="66"/>
      <c r="D19" s="63"/>
      <c r="E19" s="62"/>
      <c r="F19" s="67"/>
      <c r="G19" s="42" t="s">
        <v>72</v>
      </c>
      <c r="H19" s="36">
        <f>2200+1000</f>
        <v>3200</v>
      </c>
      <c r="I19" s="36">
        <v>0.28</v>
      </c>
      <c r="J19" s="36">
        <f t="shared" ref="J19:J24" si="1">H19*I19</f>
        <v>896</v>
      </c>
      <c r="K19" s="40"/>
    </row>
    <row r="20" s="1" customFormat="1" ht="16.5" spans="1:11">
      <c r="A20" s="27"/>
      <c r="B20" s="28"/>
      <c r="C20" s="66"/>
      <c r="D20" s="63"/>
      <c r="E20" s="62"/>
      <c r="F20" s="67"/>
      <c r="G20" s="36" t="s">
        <v>22</v>
      </c>
      <c r="H20" s="36">
        <v>10000</v>
      </c>
      <c r="I20" s="36">
        <v>0.11</v>
      </c>
      <c r="J20" s="36">
        <f t="shared" si="1"/>
        <v>1100</v>
      </c>
      <c r="K20" s="40"/>
    </row>
    <row r="21" s="1" customFormat="1" ht="16.5" spans="1:11">
      <c r="A21" s="27"/>
      <c r="B21" s="28"/>
      <c r="C21" s="66"/>
      <c r="D21" s="63"/>
      <c r="E21" s="62"/>
      <c r="F21" s="68"/>
      <c r="G21" s="36" t="s">
        <v>60</v>
      </c>
      <c r="H21" s="36">
        <f>3200</f>
        <v>3200</v>
      </c>
      <c r="I21" s="36">
        <f>0.042*5</f>
        <v>0.21</v>
      </c>
      <c r="J21" s="36">
        <f t="shared" si="1"/>
        <v>672</v>
      </c>
      <c r="K21" s="40"/>
    </row>
    <row r="22" s="1" customFormat="1" ht="16.5" spans="1:11">
      <c r="A22" s="27"/>
      <c r="B22" s="28"/>
      <c r="C22" s="66"/>
      <c r="D22" s="63"/>
      <c r="E22" s="62"/>
      <c r="F22" s="69" t="s">
        <v>78</v>
      </c>
      <c r="G22" s="42" t="s">
        <v>79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80</v>
      </c>
      <c r="D23" s="70" t="s">
        <v>81</v>
      </c>
      <c r="E23" s="28" t="s">
        <v>82</v>
      </c>
      <c r="F23" s="64" t="s">
        <v>83</v>
      </c>
      <c r="G23" s="42" t="s">
        <v>68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69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70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72</v>
      </c>
      <c r="H26" s="36">
        <v>1013</v>
      </c>
      <c r="I26" s="36">
        <v>0.28</v>
      </c>
      <c r="J26" s="65">
        <f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>H27*I27</f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79</v>
      </c>
      <c r="H28" s="36">
        <f>1500+500</f>
        <v>2000</v>
      </c>
      <c r="I28" s="36">
        <v>0.24</v>
      </c>
      <c r="J28" s="65">
        <f>H28*I28</f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60</v>
      </c>
      <c r="H29" s="36">
        <f>3013</f>
        <v>3013</v>
      </c>
      <c r="I29" s="36">
        <f>0.042*5</f>
        <v>0.21</v>
      </c>
      <c r="J29" s="65">
        <f>H29*I29</f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84</v>
      </c>
      <c r="E30" s="28" t="s">
        <v>85</v>
      </c>
      <c r="F30" s="64" t="s">
        <v>86</v>
      </c>
      <c r="G30" s="42" t="s">
        <v>87</v>
      </c>
      <c r="H30" s="71">
        <f>1402+2438+3049+2202+1210</f>
        <v>10301</v>
      </c>
      <c r="I30" s="65">
        <v>1.07</v>
      </c>
      <c r="J30" s="65">
        <f>H30*I30</f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69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72</v>
      </c>
      <c r="H32" s="36">
        <f>589+1009+1220+883+505+773+1358+1740+1255+669</f>
        <v>10001</v>
      </c>
      <c r="I32" s="36">
        <v>0.28</v>
      </c>
      <c r="J32" s="36">
        <f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>H33*I33</f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60</v>
      </c>
      <c r="H34" s="36">
        <f>10001</f>
        <v>10001</v>
      </c>
      <c r="I34" s="36">
        <f>0.042*5</f>
        <v>0.21</v>
      </c>
      <c r="J34" s="36">
        <f>H34*I34</f>
        <v>2100.21</v>
      </c>
    </row>
    <row r="35" ht="16.5" spans="1:10">
      <c r="A35" s="27">
        <v>45733</v>
      </c>
      <c r="B35" s="28" t="s">
        <v>39</v>
      </c>
      <c r="C35" s="28" t="s">
        <v>43</v>
      </c>
      <c r="D35" s="70" t="s">
        <v>88</v>
      </c>
      <c r="E35" s="28" t="s">
        <v>89</v>
      </c>
      <c r="F35" s="64" t="s">
        <v>83</v>
      </c>
      <c r="G35" s="42" t="s">
        <v>90</v>
      </c>
      <c r="H35" s="71">
        <f>1414+2424+2929+2121+1212</f>
        <v>10100</v>
      </c>
      <c r="I35" s="65">
        <v>1.07</v>
      </c>
      <c r="J35" s="65">
        <f>H35*I35</f>
        <v>10807</v>
      </c>
    </row>
    <row r="36" ht="16.5" spans="1:10">
      <c r="A36" s="27"/>
      <c r="B36" s="28"/>
      <c r="C36" s="28"/>
      <c r="D36" s="70"/>
      <c r="E36" s="28"/>
      <c r="F36" s="67"/>
      <c r="G36" s="42" t="s">
        <v>69</v>
      </c>
      <c r="H36" s="71">
        <f>10000*0.01</f>
        <v>100</v>
      </c>
      <c r="I36" s="65">
        <v>0</v>
      </c>
      <c r="J36" s="65">
        <v>0</v>
      </c>
    </row>
    <row r="37" ht="16.5" spans="1:10">
      <c r="A37" s="27"/>
      <c r="B37" s="28"/>
      <c r="C37" s="28"/>
      <c r="D37" s="70"/>
      <c r="E37" s="28"/>
      <c r="F37" s="67"/>
      <c r="G37" s="42" t="s">
        <v>91</v>
      </c>
      <c r="H37" s="71">
        <f>1442+2472+2987+2163+1236-10100</f>
        <v>200</v>
      </c>
      <c r="I37" s="65">
        <v>1.07</v>
      </c>
      <c r="J37" s="65">
        <f t="shared" ref="J37:J62" si="2">H37*I37</f>
        <v>214</v>
      </c>
    </row>
    <row r="38" ht="16.5" spans="1:10">
      <c r="A38" s="27"/>
      <c r="B38" s="28"/>
      <c r="C38" s="28"/>
      <c r="D38" s="70"/>
      <c r="E38" s="28"/>
      <c r="F38" s="67"/>
      <c r="G38" s="42" t="s">
        <v>72</v>
      </c>
      <c r="H38" s="42">
        <f>840+1440+1740+1260+720+560+960+1160+840+480</f>
        <v>10000</v>
      </c>
      <c r="I38" s="36">
        <v>0.28</v>
      </c>
      <c r="J38" s="36">
        <f t="shared" si="2"/>
        <v>2800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42">
        <f>1400+2400+2900+2100+1200</f>
        <v>10000</v>
      </c>
      <c r="I39" s="36">
        <v>0.11</v>
      </c>
      <c r="J39" s="36">
        <f t="shared" si="2"/>
        <v>1100</v>
      </c>
    </row>
    <row r="40" ht="16.5" spans="1:10">
      <c r="A40" s="27"/>
      <c r="B40" s="28"/>
      <c r="C40" s="28"/>
      <c r="D40" s="70"/>
      <c r="E40" s="28"/>
      <c r="F40" s="68"/>
      <c r="G40" s="36" t="s">
        <v>60</v>
      </c>
      <c r="H40" s="36">
        <f>10000</f>
        <v>10000</v>
      </c>
      <c r="I40" s="36">
        <f>0.042*5</f>
        <v>0.21</v>
      </c>
      <c r="J40" s="36">
        <f t="shared" si="2"/>
        <v>2100</v>
      </c>
    </row>
    <row r="41" ht="16.5" spans="1:10">
      <c r="A41" s="27">
        <v>45734</v>
      </c>
      <c r="B41" s="28" t="s">
        <v>39</v>
      </c>
      <c r="C41" s="28" t="s">
        <v>92</v>
      </c>
      <c r="D41" s="70" t="s">
        <v>93</v>
      </c>
      <c r="E41" s="28" t="s">
        <v>94</v>
      </c>
      <c r="F41" s="64" t="s">
        <v>83</v>
      </c>
      <c r="G41" s="42" t="s">
        <v>68</v>
      </c>
      <c r="H41" s="72">
        <v>9283</v>
      </c>
      <c r="I41" s="65">
        <v>1.07</v>
      </c>
      <c r="J41" s="65">
        <f t="shared" si="2"/>
        <v>9932.81</v>
      </c>
    </row>
    <row r="42" ht="16.5" spans="1:10">
      <c r="A42" s="27"/>
      <c r="B42" s="28"/>
      <c r="C42" s="28"/>
      <c r="D42" s="70"/>
      <c r="E42" s="28"/>
      <c r="F42" s="67"/>
      <c r="G42" s="42" t="s">
        <v>69</v>
      </c>
      <c r="H42" s="71">
        <v>90</v>
      </c>
      <c r="I42" s="65">
        <v>0</v>
      </c>
      <c r="J42" s="65">
        <f t="shared" si="2"/>
        <v>0</v>
      </c>
    </row>
    <row r="43" ht="16.5" spans="1:10">
      <c r="A43" s="27"/>
      <c r="B43" s="28"/>
      <c r="C43" s="28"/>
      <c r="D43" s="70"/>
      <c r="E43" s="28"/>
      <c r="F43" s="67"/>
      <c r="G43" s="28" t="s">
        <v>95</v>
      </c>
      <c r="H43" s="71">
        <f>4*5+5</f>
        <v>25</v>
      </c>
      <c r="I43" s="65">
        <v>0</v>
      </c>
      <c r="J43" s="65">
        <f t="shared" si="2"/>
        <v>0</v>
      </c>
    </row>
    <row r="44" ht="16.5" spans="1:10">
      <c r="A44" s="27"/>
      <c r="B44" s="28"/>
      <c r="C44" s="28"/>
      <c r="D44" s="70"/>
      <c r="E44" s="28"/>
      <c r="F44" s="67"/>
      <c r="G44" s="42" t="s">
        <v>72</v>
      </c>
      <c r="H44" s="71">
        <f>3000+3000+3000+13</f>
        <v>9013</v>
      </c>
      <c r="I44" s="36">
        <v>0.28</v>
      </c>
      <c r="J44" s="65">
        <f t="shared" si="2"/>
        <v>2523.64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71">
        <f>3000+3000+3000+13</f>
        <v>9013</v>
      </c>
      <c r="I45" s="36">
        <v>0.11</v>
      </c>
      <c r="J45" s="65">
        <f t="shared" si="2"/>
        <v>991.43</v>
      </c>
    </row>
    <row r="46" ht="16.5" spans="1:10">
      <c r="A46" s="27"/>
      <c r="B46" s="28"/>
      <c r="C46" s="28"/>
      <c r="D46" s="70"/>
      <c r="E46" s="28"/>
      <c r="F46" s="68"/>
      <c r="G46" s="36" t="s">
        <v>60</v>
      </c>
      <c r="H46" s="36">
        <f>9013</f>
        <v>9013</v>
      </c>
      <c r="I46" s="36">
        <f>0.042*5</f>
        <v>0.21</v>
      </c>
      <c r="J46" s="36">
        <f t="shared" si="2"/>
        <v>1892.73</v>
      </c>
    </row>
    <row r="47" ht="16.5" spans="1:10">
      <c r="A47" s="27">
        <v>45738</v>
      </c>
      <c r="B47" s="28" t="s">
        <v>39</v>
      </c>
      <c r="C47" s="28" t="s">
        <v>96</v>
      </c>
      <c r="D47" s="70" t="s">
        <v>97</v>
      </c>
      <c r="E47" s="28" t="s">
        <v>98</v>
      </c>
      <c r="F47" s="64" t="s">
        <v>83</v>
      </c>
      <c r="G47" s="42" t="s">
        <v>68</v>
      </c>
      <c r="H47" s="65">
        <f>999+2338+4573+3203+1246</f>
        <v>12359</v>
      </c>
      <c r="I47" s="65">
        <v>1.07</v>
      </c>
      <c r="J47" s="65">
        <f t="shared" si="2"/>
        <v>13224.13</v>
      </c>
    </row>
    <row r="48" ht="16.5" spans="1:10">
      <c r="A48" s="27"/>
      <c r="B48" s="28"/>
      <c r="C48" s="28"/>
      <c r="D48" s="70"/>
      <c r="E48" s="28"/>
      <c r="F48" s="67"/>
      <c r="G48" s="42" t="s">
        <v>69</v>
      </c>
      <c r="H48" s="65">
        <f>12000*0.01</f>
        <v>120</v>
      </c>
      <c r="I48" s="65">
        <v>0</v>
      </c>
      <c r="J48" s="65">
        <f t="shared" si="2"/>
        <v>0</v>
      </c>
    </row>
    <row r="49" ht="16.5" spans="1:10">
      <c r="A49" s="27"/>
      <c r="B49" s="28"/>
      <c r="C49" s="28"/>
      <c r="D49" s="70"/>
      <c r="E49" s="28"/>
      <c r="F49" s="67"/>
      <c r="G49" s="42" t="s">
        <v>72</v>
      </c>
      <c r="H49" s="36">
        <v>2900</v>
      </c>
      <c r="I49" s="36">
        <v>0.28</v>
      </c>
      <c r="J49" s="65">
        <f t="shared" si="2"/>
        <v>812</v>
      </c>
    </row>
    <row r="50" ht="16.5" spans="1:10">
      <c r="A50" s="27"/>
      <c r="B50" s="28"/>
      <c r="C50" s="28"/>
      <c r="D50" s="70"/>
      <c r="E50" s="28"/>
      <c r="F50" s="67"/>
      <c r="G50" s="36" t="s">
        <v>22</v>
      </c>
      <c r="H50" s="36">
        <f>2900+2000</f>
        <v>4900</v>
      </c>
      <c r="I50" s="36">
        <v>0.11</v>
      </c>
      <c r="J50" s="65">
        <f t="shared" si="2"/>
        <v>539</v>
      </c>
    </row>
    <row r="51" ht="16.5" spans="1:10">
      <c r="A51" s="27"/>
      <c r="B51" s="28"/>
      <c r="C51" s="28"/>
      <c r="D51" s="70"/>
      <c r="E51" s="28"/>
      <c r="F51" s="67"/>
      <c r="G51" s="42" t="s">
        <v>79</v>
      </c>
      <c r="H51" s="36">
        <v>2000</v>
      </c>
      <c r="I51" s="36">
        <v>0.24</v>
      </c>
      <c r="J51" s="65">
        <f t="shared" si="2"/>
        <v>480</v>
      </c>
    </row>
    <row r="52" ht="16.5" spans="1:10">
      <c r="A52" s="27"/>
      <c r="B52" s="28"/>
      <c r="C52" s="28"/>
      <c r="D52" s="70"/>
      <c r="E52" s="28"/>
      <c r="F52" s="68"/>
      <c r="G52" s="36" t="s">
        <v>60</v>
      </c>
      <c r="H52" s="36">
        <f>12000</f>
        <v>12000</v>
      </c>
      <c r="I52" s="36">
        <f>0.042*5</f>
        <v>0.21</v>
      </c>
      <c r="J52" s="36">
        <f t="shared" si="2"/>
        <v>2520</v>
      </c>
    </row>
    <row r="53" ht="16.5" spans="1:10">
      <c r="A53" s="27">
        <v>45748</v>
      </c>
      <c r="B53" s="28" t="s">
        <v>39</v>
      </c>
      <c r="C53" s="28" t="s">
        <v>99</v>
      </c>
      <c r="D53" s="70" t="s">
        <v>100</v>
      </c>
      <c r="E53" s="28" t="s">
        <v>101</v>
      </c>
      <c r="F53" s="69" t="s">
        <v>102</v>
      </c>
      <c r="G53" s="42" t="s">
        <v>103</v>
      </c>
      <c r="H53" s="36">
        <f>8200+13+2400</f>
        <v>10613</v>
      </c>
      <c r="I53" s="36">
        <v>0.85</v>
      </c>
      <c r="J53" s="36">
        <f t="shared" si="2"/>
        <v>9021.05</v>
      </c>
    </row>
    <row r="54" ht="16.5" spans="1:10">
      <c r="A54" s="27"/>
      <c r="B54" s="28"/>
      <c r="C54" s="28"/>
      <c r="D54" s="70"/>
      <c r="E54" s="28"/>
      <c r="F54" s="69"/>
      <c r="G54" s="42" t="s">
        <v>104</v>
      </c>
      <c r="H54" s="36">
        <v>106</v>
      </c>
      <c r="I54" s="36">
        <v>0</v>
      </c>
      <c r="J54" s="36">
        <f t="shared" si="2"/>
        <v>0</v>
      </c>
    </row>
    <row r="55" ht="16.5" spans="1:10">
      <c r="A55" s="27"/>
      <c r="B55" s="28"/>
      <c r="C55" s="28"/>
      <c r="D55" s="70"/>
      <c r="E55" s="28"/>
      <c r="F55" s="69"/>
      <c r="G55" s="42" t="s">
        <v>105</v>
      </c>
      <c r="H55" s="36">
        <f>5*5+5</f>
        <v>30</v>
      </c>
      <c r="I55" s="36">
        <v>0</v>
      </c>
      <c r="J55" s="36">
        <f t="shared" si="2"/>
        <v>0</v>
      </c>
    </row>
    <row r="56" ht="16.5" spans="1:10">
      <c r="A56" s="27"/>
      <c r="B56" s="28"/>
      <c r="C56" s="28"/>
      <c r="D56" s="70"/>
      <c r="E56" s="28"/>
      <c r="F56" s="69"/>
      <c r="G56" s="42" t="s">
        <v>72</v>
      </c>
      <c r="H56" s="36">
        <f>8200+13+2400</f>
        <v>10613</v>
      </c>
      <c r="I56" s="36">
        <v>0.28</v>
      </c>
      <c r="J56" s="36">
        <f t="shared" si="2"/>
        <v>2971.64</v>
      </c>
    </row>
    <row r="57" ht="16.5" spans="1:10">
      <c r="A57" s="27"/>
      <c r="B57" s="28"/>
      <c r="C57" s="28"/>
      <c r="D57" s="70"/>
      <c r="E57" s="28"/>
      <c r="F57" s="69"/>
      <c r="G57" s="36" t="s">
        <v>22</v>
      </c>
      <c r="H57" s="36">
        <f>8200+13+2400</f>
        <v>10613</v>
      </c>
      <c r="I57" s="36">
        <v>0.11</v>
      </c>
      <c r="J57" s="36">
        <f t="shared" si="2"/>
        <v>1167.43</v>
      </c>
    </row>
    <row r="58" ht="16.5" spans="1:10">
      <c r="A58" s="27"/>
      <c r="B58" s="28"/>
      <c r="C58" s="28"/>
      <c r="D58" s="70"/>
      <c r="E58" s="28"/>
      <c r="F58" s="69"/>
      <c r="G58" s="36" t="s">
        <v>106</v>
      </c>
      <c r="H58" s="36">
        <f>10613</f>
        <v>10613</v>
      </c>
      <c r="I58" s="36">
        <f>0.042*4</f>
        <v>0.168</v>
      </c>
      <c r="J58" s="36">
        <f t="shared" si="2"/>
        <v>1782.984</v>
      </c>
    </row>
    <row r="59" ht="16.5" spans="1:10">
      <c r="A59" s="27"/>
      <c r="B59" s="28"/>
      <c r="C59" s="28"/>
      <c r="D59" s="70"/>
      <c r="E59" s="28"/>
      <c r="F59" s="69"/>
      <c r="G59" s="36" t="s">
        <v>107</v>
      </c>
      <c r="H59" s="36">
        <v>10613</v>
      </c>
      <c r="I59" s="36">
        <v>0.027</v>
      </c>
      <c r="J59" s="36">
        <f t="shared" si="2"/>
        <v>286.551</v>
      </c>
    </row>
    <row r="60" ht="16.5" spans="1:10">
      <c r="A60" s="27"/>
      <c r="B60" s="28"/>
      <c r="C60" s="28"/>
      <c r="D60" s="70"/>
      <c r="E60" s="28"/>
      <c r="F60" s="69"/>
      <c r="G60" s="65" t="s">
        <v>108</v>
      </c>
      <c r="H60" s="36">
        <f>170+255+175</f>
        <v>600</v>
      </c>
      <c r="I60" s="36">
        <v>0.24</v>
      </c>
      <c r="J60" s="36">
        <f t="shared" si="2"/>
        <v>144</v>
      </c>
    </row>
    <row r="61" ht="16.5" spans="1:10">
      <c r="A61" s="27"/>
      <c r="B61" s="28"/>
      <c r="C61" s="28"/>
      <c r="D61" s="70"/>
      <c r="E61" s="28"/>
      <c r="F61" s="69" t="s">
        <v>109</v>
      </c>
      <c r="G61" s="65" t="s">
        <v>110</v>
      </c>
      <c r="H61" s="36">
        <v>7300</v>
      </c>
      <c r="I61" s="36">
        <v>0.33</v>
      </c>
      <c r="J61" s="36">
        <f t="shared" si="2"/>
        <v>2409</v>
      </c>
    </row>
    <row r="62" ht="16.5" spans="1:10">
      <c r="A62" s="27"/>
      <c r="B62" s="28"/>
      <c r="C62" s="28"/>
      <c r="D62" s="70"/>
      <c r="E62" s="28"/>
      <c r="F62" s="69"/>
      <c r="G62" s="36" t="s">
        <v>111</v>
      </c>
      <c r="H62" s="36">
        <v>500</v>
      </c>
      <c r="I62" s="36">
        <v>0.65</v>
      </c>
      <c r="J62" s="36">
        <f t="shared" si="2"/>
        <v>325</v>
      </c>
    </row>
    <row r="63" ht="16.5" spans="10:10">
      <c r="J63" s="78">
        <f>SUM(J3:J62)</f>
        <v>130478.715</v>
      </c>
    </row>
  </sheetData>
  <autoFilter xmlns:etc="http://www.wps.cn/officeDocument/2017/etCustomData" ref="A1:J63" etc:filterBottomFollowUsedRange="0">
    <extLst/>
  </autoFilter>
  <mergeCells count="62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62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62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62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62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62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60"/>
    <mergeCell ref="F61:F6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D22" sqref="D22"/>
    </sheetView>
  </sheetViews>
  <sheetFormatPr defaultColWidth="8.72727272727273" defaultRowHeight="14" outlineLevelRow="3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112</v>
      </c>
    </row>
    <row r="3" ht="33" spans="1:10">
      <c r="A3" s="27">
        <v>45761</v>
      </c>
      <c r="B3" s="28" t="s">
        <v>39</v>
      </c>
      <c r="C3" s="28">
        <v>76382</v>
      </c>
      <c r="D3" s="70" t="s">
        <v>113</v>
      </c>
      <c r="E3" s="28" t="s">
        <v>114</v>
      </c>
      <c r="F3" s="69" t="s">
        <v>115</v>
      </c>
      <c r="G3" s="36" t="s">
        <v>116</v>
      </c>
      <c r="H3" s="36">
        <v>201</v>
      </c>
      <c r="I3" s="36">
        <v>0.007</v>
      </c>
      <c r="J3" s="36">
        <f>H3*I3</f>
        <v>1.407</v>
      </c>
    </row>
    <row r="4" ht="16.5" spans="10:10">
      <c r="J4" s="78">
        <f>SUM(J3:J3)</f>
        <v>1.407</v>
      </c>
    </row>
  </sheetData>
  <autoFilter xmlns:etc="http://www.wps.cn/officeDocument/2017/etCustomData" ref="A1:J4" etc:filterBottomFollowUsedRange="0">
    <extLst/>
  </autoFilter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"/>
  <sheetViews>
    <sheetView zoomScale="115" zoomScaleNormal="115" topLeftCell="A14" workbookViewId="0">
      <selection activeCell="E90" sqref="E90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61.8818181818182" customWidth="1"/>
    <col min="8" max="8" width="9.45454545454546" customWidth="1"/>
    <col min="9" max="9" width="12.3636363636364" customWidth="1"/>
    <col min="10" max="10" width="15.1818181818182" customWidth="1"/>
    <col min="11" max="11" width="9.54545454545454"/>
    <col min="13" max="13" width="9.54545454545454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ht="16.5" spans="1:10">
      <c r="A3" s="117">
        <v>45796</v>
      </c>
      <c r="B3" s="118" t="s">
        <v>117</v>
      </c>
      <c r="C3" s="118" t="s">
        <v>118</v>
      </c>
      <c r="D3" s="119" t="s">
        <v>119</v>
      </c>
      <c r="E3" s="118" t="s">
        <v>120</v>
      </c>
      <c r="F3" s="117" t="s">
        <v>121</v>
      </c>
      <c r="G3" s="120" t="s">
        <v>72</v>
      </c>
      <c r="H3" s="121">
        <v>18000</v>
      </c>
      <c r="I3" s="121">
        <v>0.24</v>
      </c>
      <c r="J3" s="120">
        <f>H3*I3</f>
        <v>4320</v>
      </c>
    </row>
    <row r="4" ht="16.5" spans="1:10">
      <c r="A4" s="117"/>
      <c r="B4" s="118"/>
      <c r="C4" s="118"/>
      <c r="D4" s="119"/>
      <c r="E4" s="118"/>
      <c r="F4" s="117"/>
      <c r="G4" s="120" t="s">
        <v>108</v>
      </c>
      <c r="H4" s="121">
        <f>105+90+70+70+110+95+75+95+105</f>
        <v>815</v>
      </c>
      <c r="I4" s="121">
        <v>0.24</v>
      </c>
      <c r="J4" s="120">
        <f t="shared" ref="J4:J35" si="0">H4*I4</f>
        <v>195.6</v>
      </c>
    </row>
    <row r="5" ht="16.5" spans="1:10">
      <c r="A5" s="117"/>
      <c r="B5" s="118"/>
      <c r="C5" s="118"/>
      <c r="D5" s="119"/>
      <c r="E5" s="118"/>
      <c r="F5" s="117" t="s">
        <v>122</v>
      </c>
      <c r="G5" s="121" t="s">
        <v>22</v>
      </c>
      <c r="H5" s="121">
        <f>47000*1.01</f>
        <v>47470</v>
      </c>
      <c r="I5" s="121">
        <v>0.11</v>
      </c>
      <c r="J5" s="120">
        <f t="shared" si="0"/>
        <v>5221.7</v>
      </c>
    </row>
    <row r="6" ht="16.5" spans="1:10">
      <c r="A6" s="117"/>
      <c r="B6" s="118"/>
      <c r="C6" s="118"/>
      <c r="D6" s="119"/>
      <c r="E6" s="118"/>
      <c r="F6" s="117"/>
      <c r="G6" s="120" t="s">
        <v>123</v>
      </c>
      <c r="H6" s="121">
        <f>35000*1.01</f>
        <v>35350</v>
      </c>
      <c r="I6" s="121">
        <v>0.22</v>
      </c>
      <c r="J6" s="120">
        <f t="shared" si="0"/>
        <v>7777</v>
      </c>
    </row>
    <row r="7" ht="16.5" spans="1:10">
      <c r="A7" s="117"/>
      <c r="B7" s="118"/>
      <c r="C7" s="118"/>
      <c r="D7" s="119"/>
      <c r="E7" s="118"/>
      <c r="F7" s="117" t="s">
        <v>124</v>
      </c>
      <c r="G7" s="120" t="s">
        <v>125</v>
      </c>
      <c r="H7" s="121">
        <f>12000</f>
        <v>12000</v>
      </c>
      <c r="I7" s="121">
        <v>0.22</v>
      </c>
      <c r="J7" s="120">
        <f t="shared" si="0"/>
        <v>2640</v>
      </c>
    </row>
    <row r="8" ht="16.5" spans="1:10">
      <c r="A8" s="117"/>
      <c r="B8" s="118"/>
      <c r="C8" s="118"/>
      <c r="D8" s="119"/>
      <c r="E8" s="118"/>
      <c r="F8" s="117" t="s">
        <v>122</v>
      </c>
      <c r="G8" s="121" t="s">
        <v>126</v>
      </c>
      <c r="H8" s="121">
        <f>35000*4*1.01</f>
        <v>141400</v>
      </c>
      <c r="I8" s="121">
        <v>0.042</v>
      </c>
      <c r="J8" s="120">
        <f t="shared" si="0"/>
        <v>5938.8</v>
      </c>
    </row>
    <row r="9" ht="16.5" spans="1:10">
      <c r="A9" s="117"/>
      <c r="B9" s="118"/>
      <c r="C9" s="118"/>
      <c r="D9" s="119"/>
      <c r="E9" s="118"/>
      <c r="F9" s="117" t="s">
        <v>124</v>
      </c>
      <c r="G9" s="121" t="s">
        <v>127</v>
      </c>
      <c r="H9" s="121">
        <f>12000*4</f>
        <v>48000</v>
      </c>
      <c r="I9" s="121">
        <v>0.042</v>
      </c>
      <c r="J9" s="120">
        <f t="shared" si="0"/>
        <v>2016</v>
      </c>
    </row>
    <row r="10" ht="16.5" spans="1:10">
      <c r="A10" s="117"/>
      <c r="B10" s="118"/>
      <c r="C10" s="118"/>
      <c r="D10" s="119"/>
      <c r="E10" s="118"/>
      <c r="F10" s="117" t="s">
        <v>122</v>
      </c>
      <c r="G10" s="121" t="s">
        <v>128</v>
      </c>
      <c r="H10" s="121">
        <f>47000</f>
        <v>47000</v>
      </c>
      <c r="I10" s="121">
        <v>0.89</v>
      </c>
      <c r="J10" s="120">
        <f t="shared" si="0"/>
        <v>41830</v>
      </c>
    </row>
    <row r="11" ht="16.5" spans="1:10">
      <c r="A11" s="117"/>
      <c r="B11" s="118"/>
      <c r="C11" s="118"/>
      <c r="D11" s="119"/>
      <c r="E11" s="118"/>
      <c r="F11" s="117"/>
      <c r="G11" s="121" t="s">
        <v>129</v>
      </c>
      <c r="H11" s="121">
        <f>47000*0.01</f>
        <v>470</v>
      </c>
      <c r="I11" s="121">
        <v>0</v>
      </c>
      <c r="J11" s="120">
        <f t="shared" si="0"/>
        <v>0</v>
      </c>
    </row>
    <row r="12" ht="16.5" spans="1:10">
      <c r="A12" s="117"/>
      <c r="B12" s="118"/>
      <c r="C12" s="118"/>
      <c r="D12" s="119"/>
      <c r="E12" s="118"/>
      <c r="F12" s="117"/>
      <c r="G12" s="121" t="s">
        <v>130</v>
      </c>
      <c r="H12" s="121">
        <f>2*6*5+5</f>
        <v>65</v>
      </c>
      <c r="I12" s="121">
        <v>0</v>
      </c>
      <c r="J12" s="120">
        <f t="shared" si="0"/>
        <v>0</v>
      </c>
    </row>
    <row r="13" ht="16.5" spans="1:10">
      <c r="A13" s="117"/>
      <c r="B13" s="118"/>
      <c r="C13" s="118"/>
      <c r="D13" s="119"/>
      <c r="E13" s="118"/>
      <c r="F13" s="117" t="s">
        <v>131</v>
      </c>
      <c r="G13" s="120" t="s">
        <v>72</v>
      </c>
      <c r="H13" s="121">
        <v>13000</v>
      </c>
      <c r="I13" s="121">
        <v>0.24</v>
      </c>
      <c r="J13" s="120">
        <f t="shared" si="0"/>
        <v>3120</v>
      </c>
    </row>
    <row r="14" ht="16.5" spans="1:10">
      <c r="A14" s="117"/>
      <c r="B14" s="118"/>
      <c r="C14" s="118"/>
      <c r="D14" s="119"/>
      <c r="E14" s="118"/>
      <c r="F14" s="117" t="s">
        <v>132</v>
      </c>
      <c r="G14" s="120" t="s">
        <v>72</v>
      </c>
      <c r="H14" s="121">
        <v>9000</v>
      </c>
      <c r="I14" s="121">
        <v>0.24</v>
      </c>
      <c r="J14" s="120">
        <f t="shared" si="0"/>
        <v>2160</v>
      </c>
    </row>
    <row r="15" ht="16.5" spans="1:10">
      <c r="A15" s="117"/>
      <c r="B15" s="118"/>
      <c r="C15" s="118"/>
      <c r="D15" s="119"/>
      <c r="E15" s="118"/>
      <c r="F15" s="117" t="s">
        <v>132</v>
      </c>
      <c r="G15" s="121" t="s">
        <v>22</v>
      </c>
      <c r="H15" s="121">
        <v>28530</v>
      </c>
      <c r="I15" s="121">
        <v>0.11</v>
      </c>
      <c r="J15" s="120">
        <f t="shared" si="0"/>
        <v>3138.3</v>
      </c>
    </row>
    <row r="16" ht="16.5" spans="1:10">
      <c r="A16" s="117"/>
      <c r="B16" s="118"/>
      <c r="C16" s="118"/>
      <c r="D16" s="119"/>
      <c r="E16" s="118"/>
      <c r="F16" s="117" t="s">
        <v>131</v>
      </c>
      <c r="G16" s="120" t="s">
        <v>125</v>
      </c>
      <c r="H16" s="121">
        <v>7000</v>
      </c>
      <c r="I16" s="121">
        <v>0.22</v>
      </c>
      <c r="J16" s="120">
        <f t="shared" si="0"/>
        <v>1540</v>
      </c>
    </row>
    <row r="17" ht="16.5" spans="1:10">
      <c r="A17" s="117"/>
      <c r="B17" s="118"/>
      <c r="C17" s="118"/>
      <c r="D17" s="119"/>
      <c r="E17" s="118"/>
      <c r="F17" s="117" t="s">
        <v>132</v>
      </c>
      <c r="G17" s="120" t="s">
        <v>125</v>
      </c>
      <c r="H17" s="121">
        <v>6000</v>
      </c>
      <c r="I17" s="121">
        <v>0.22</v>
      </c>
      <c r="J17" s="120">
        <f t="shared" si="0"/>
        <v>1320</v>
      </c>
    </row>
    <row r="18" ht="16.5" spans="1:10">
      <c r="A18" s="117"/>
      <c r="B18" s="118"/>
      <c r="C18" s="118"/>
      <c r="D18" s="119"/>
      <c r="E18" s="118"/>
      <c r="F18" s="117" t="s">
        <v>131</v>
      </c>
      <c r="G18" s="121" t="s">
        <v>127</v>
      </c>
      <c r="H18" s="121">
        <f>7000*4</f>
        <v>28000</v>
      </c>
      <c r="I18" s="121">
        <v>0.042</v>
      </c>
      <c r="J18" s="120">
        <f t="shared" si="0"/>
        <v>1176</v>
      </c>
    </row>
    <row r="19" ht="16.5" spans="1:10">
      <c r="A19" s="117"/>
      <c r="B19" s="118"/>
      <c r="C19" s="118"/>
      <c r="D19" s="119"/>
      <c r="E19" s="118"/>
      <c r="F19" s="117" t="s">
        <v>133</v>
      </c>
      <c r="G19" s="121" t="s">
        <v>127</v>
      </c>
      <c r="H19" s="121">
        <f>6000*4</f>
        <v>24000</v>
      </c>
      <c r="I19" s="121">
        <v>0.042</v>
      </c>
      <c r="J19" s="120">
        <f t="shared" si="0"/>
        <v>1008</v>
      </c>
    </row>
    <row r="20" ht="16.5" spans="1:10">
      <c r="A20" s="117"/>
      <c r="B20" s="118"/>
      <c r="C20" s="118"/>
      <c r="D20" s="119"/>
      <c r="E20" s="118"/>
      <c r="F20" s="117" t="s">
        <v>133</v>
      </c>
      <c r="G20" s="121" t="s">
        <v>134</v>
      </c>
      <c r="H20" s="121">
        <f>3500*4</f>
        <v>14000</v>
      </c>
      <c r="I20" s="121">
        <v>0.042</v>
      </c>
      <c r="J20" s="120">
        <f t="shared" si="0"/>
        <v>588</v>
      </c>
    </row>
    <row r="21" ht="16.5" spans="1:10">
      <c r="A21" s="117"/>
      <c r="B21" s="118"/>
      <c r="C21" s="118"/>
      <c r="D21" s="119"/>
      <c r="E21" s="118"/>
      <c r="F21" s="117" t="s">
        <v>133</v>
      </c>
      <c r="G21" s="121" t="s">
        <v>128</v>
      </c>
      <c r="H21" s="121">
        <f>3154+5384+7609+5866+5100+1887</f>
        <v>29000</v>
      </c>
      <c r="I21" s="121">
        <v>0.89</v>
      </c>
      <c r="J21" s="120">
        <f t="shared" si="0"/>
        <v>25810</v>
      </c>
    </row>
    <row r="22" ht="16.5" spans="1:10">
      <c r="A22" s="117"/>
      <c r="B22" s="118"/>
      <c r="C22" s="118"/>
      <c r="D22" s="119"/>
      <c r="E22" s="118"/>
      <c r="F22" s="117"/>
      <c r="G22" s="121" t="s">
        <v>129</v>
      </c>
      <c r="H22" s="121">
        <f>H21*0.01</f>
        <v>290</v>
      </c>
      <c r="I22" s="121">
        <v>0</v>
      </c>
      <c r="J22" s="120">
        <f t="shared" si="0"/>
        <v>0</v>
      </c>
    </row>
    <row r="23" ht="16.5" spans="1:10">
      <c r="A23" s="117"/>
      <c r="B23" s="118"/>
      <c r="C23" s="118"/>
      <c r="D23" s="119"/>
      <c r="E23" s="118"/>
      <c r="F23" s="117" t="s">
        <v>133</v>
      </c>
      <c r="G23" s="121" t="s">
        <v>135</v>
      </c>
      <c r="H23" s="121">
        <v>44500</v>
      </c>
      <c r="I23" s="121">
        <v>0.12</v>
      </c>
      <c r="J23" s="120">
        <f t="shared" si="0"/>
        <v>5340</v>
      </c>
    </row>
    <row r="24" ht="16.5" spans="1:10">
      <c r="A24" s="27">
        <v>45827</v>
      </c>
      <c r="B24" s="28" t="s">
        <v>117</v>
      </c>
      <c r="C24" s="28" t="s">
        <v>136</v>
      </c>
      <c r="D24" s="70" t="s">
        <v>137</v>
      </c>
      <c r="E24" s="28" t="s">
        <v>138</v>
      </c>
      <c r="F24" s="100" t="s">
        <v>139</v>
      </c>
      <c r="G24" s="42" t="s">
        <v>140</v>
      </c>
      <c r="H24" s="65">
        <f>8000+13</f>
        <v>8013</v>
      </c>
      <c r="I24" s="65">
        <v>1.07</v>
      </c>
      <c r="J24" s="42">
        <f t="shared" si="0"/>
        <v>8573.91</v>
      </c>
    </row>
    <row r="25" ht="16.5" spans="1:10">
      <c r="A25" s="27"/>
      <c r="B25" s="28"/>
      <c r="C25" s="28"/>
      <c r="D25" s="70"/>
      <c r="E25" s="28"/>
      <c r="F25" s="103"/>
      <c r="G25" s="42" t="s">
        <v>141</v>
      </c>
      <c r="H25" s="65">
        <v>80</v>
      </c>
      <c r="I25" s="65">
        <v>0</v>
      </c>
      <c r="J25" s="42">
        <f t="shared" si="0"/>
        <v>0</v>
      </c>
    </row>
    <row r="26" ht="16.5" spans="1:10">
      <c r="A26" s="27"/>
      <c r="B26" s="28"/>
      <c r="C26" s="28"/>
      <c r="D26" s="70"/>
      <c r="E26" s="28"/>
      <c r="F26" s="103"/>
      <c r="G26" s="42" t="s">
        <v>142</v>
      </c>
      <c r="H26" s="65">
        <f>5*5+5</f>
        <v>30</v>
      </c>
      <c r="I26" s="65">
        <v>0</v>
      </c>
      <c r="J26" s="42">
        <f t="shared" si="0"/>
        <v>0</v>
      </c>
    </row>
    <row r="27" ht="16.5" spans="1:10">
      <c r="A27" s="27"/>
      <c r="B27" s="28"/>
      <c r="C27" s="28"/>
      <c r="D27" s="70"/>
      <c r="E27" s="28"/>
      <c r="F27" s="103"/>
      <c r="G27" s="42" t="s">
        <v>72</v>
      </c>
      <c r="H27" s="65">
        <f>8000+13</f>
        <v>8013</v>
      </c>
      <c r="I27" s="36">
        <v>0.24</v>
      </c>
      <c r="J27" s="42">
        <f t="shared" si="0"/>
        <v>1923.12</v>
      </c>
    </row>
    <row r="28" ht="16.5" spans="1:10">
      <c r="A28" s="27"/>
      <c r="B28" s="28"/>
      <c r="C28" s="28"/>
      <c r="D28" s="70"/>
      <c r="E28" s="28"/>
      <c r="F28" s="103"/>
      <c r="G28" s="36" t="s">
        <v>22</v>
      </c>
      <c r="H28" s="65">
        <f>8000+13</f>
        <v>8013</v>
      </c>
      <c r="I28" s="36">
        <v>0.11</v>
      </c>
      <c r="J28" s="42">
        <f t="shared" si="0"/>
        <v>881.43</v>
      </c>
    </row>
    <row r="29" ht="16.5" spans="1:10">
      <c r="A29" s="27"/>
      <c r="B29" s="28"/>
      <c r="C29" s="28"/>
      <c r="D29" s="70"/>
      <c r="E29" s="28"/>
      <c r="F29" s="103"/>
      <c r="G29" s="36" t="s">
        <v>60</v>
      </c>
      <c r="H29" s="36">
        <f>8013*5</f>
        <v>40065</v>
      </c>
      <c r="I29" s="36">
        <v>0.042</v>
      </c>
      <c r="J29" s="42">
        <f t="shared" si="0"/>
        <v>1682.73</v>
      </c>
    </row>
    <row r="30" ht="16.5" spans="1:10">
      <c r="A30" s="27"/>
      <c r="B30" s="28"/>
      <c r="C30" s="28"/>
      <c r="D30" s="70"/>
      <c r="E30" s="28"/>
      <c r="F30" s="103"/>
      <c r="G30" s="42" t="s">
        <v>143</v>
      </c>
      <c r="H30" s="36">
        <v>2122</v>
      </c>
      <c r="I30" s="36">
        <v>0.55</v>
      </c>
      <c r="J30" s="42">
        <f t="shared" si="0"/>
        <v>1167.1</v>
      </c>
    </row>
    <row r="31" ht="16.5" spans="1:10">
      <c r="A31" s="27"/>
      <c r="B31" s="28"/>
      <c r="C31" s="28"/>
      <c r="D31" s="70"/>
      <c r="E31" s="28"/>
      <c r="F31" s="103"/>
      <c r="G31" s="71" t="s">
        <v>111</v>
      </c>
      <c r="H31" s="65">
        <v>360</v>
      </c>
      <c r="I31" s="65">
        <v>0.63</v>
      </c>
      <c r="J31" s="42">
        <f t="shared" si="0"/>
        <v>226.8</v>
      </c>
    </row>
    <row r="32" ht="16.5" spans="1:10">
      <c r="A32" s="27"/>
      <c r="B32" s="28"/>
      <c r="C32" s="28"/>
      <c r="D32" s="70"/>
      <c r="E32" s="28"/>
      <c r="F32" s="105"/>
      <c r="G32" s="36" t="s">
        <v>144</v>
      </c>
      <c r="H32" s="36">
        <v>8300</v>
      </c>
      <c r="I32" s="36">
        <v>0.098</v>
      </c>
      <c r="J32" s="42">
        <f t="shared" si="0"/>
        <v>813.4</v>
      </c>
    </row>
    <row r="33" ht="16.5" spans="1:10">
      <c r="A33" s="27">
        <v>45839</v>
      </c>
      <c r="B33" s="28" t="s">
        <v>117</v>
      </c>
      <c r="C33" s="28" t="s">
        <v>136</v>
      </c>
      <c r="D33" s="70" t="s">
        <v>145</v>
      </c>
      <c r="E33" s="28" t="s">
        <v>146</v>
      </c>
      <c r="F33" s="100" t="s">
        <v>147</v>
      </c>
      <c r="G33" s="42" t="s">
        <v>140</v>
      </c>
      <c r="H33" s="65">
        <f>22+52+89+60+17</f>
        <v>240</v>
      </c>
      <c r="I33" s="65">
        <v>1.07</v>
      </c>
      <c r="J33" s="42">
        <f t="shared" si="0"/>
        <v>256.8</v>
      </c>
    </row>
    <row r="34" ht="16.5" spans="1:10">
      <c r="A34" s="27"/>
      <c r="B34" s="28"/>
      <c r="C34" s="28"/>
      <c r="D34" s="70"/>
      <c r="E34" s="28"/>
      <c r="F34" s="103"/>
      <c r="G34" s="42" t="s">
        <v>141</v>
      </c>
      <c r="H34" s="65">
        <v>3</v>
      </c>
      <c r="I34" s="65">
        <v>0</v>
      </c>
      <c r="J34" s="42">
        <f t="shared" si="0"/>
        <v>0</v>
      </c>
    </row>
    <row r="35" ht="16.5" spans="1:10">
      <c r="A35" s="27">
        <v>45841</v>
      </c>
      <c r="B35" s="28" t="s">
        <v>117</v>
      </c>
      <c r="C35" s="28">
        <v>84687</v>
      </c>
      <c r="D35" s="70" t="s">
        <v>148</v>
      </c>
      <c r="E35" s="28" t="s">
        <v>149</v>
      </c>
      <c r="F35" s="27" t="s">
        <v>147</v>
      </c>
      <c r="G35" s="42" t="s">
        <v>150</v>
      </c>
      <c r="H35" s="65">
        <f>7000*1.03</f>
        <v>7210</v>
      </c>
      <c r="I35" s="65">
        <v>1.07</v>
      </c>
      <c r="J35" s="42">
        <f t="shared" si="0"/>
        <v>7714.7</v>
      </c>
    </row>
    <row r="36" ht="16.5" spans="1:10">
      <c r="A36" s="27"/>
      <c r="B36" s="28"/>
      <c r="C36" s="28"/>
      <c r="D36" s="70"/>
      <c r="E36" s="28"/>
      <c r="F36" s="27"/>
      <c r="G36" s="42" t="s">
        <v>141</v>
      </c>
      <c r="H36" s="65">
        <f>7000*0.01</f>
        <v>70</v>
      </c>
      <c r="I36" s="65">
        <v>0</v>
      </c>
      <c r="J36" s="42">
        <f t="shared" ref="J36:J61" si="1">H36*I36</f>
        <v>0</v>
      </c>
    </row>
    <row r="37" ht="16.5" spans="1:10">
      <c r="A37" s="27"/>
      <c r="B37" s="28"/>
      <c r="C37" s="28"/>
      <c r="D37" s="70"/>
      <c r="E37" s="28"/>
      <c r="F37" s="27" t="s">
        <v>151</v>
      </c>
      <c r="G37" s="42" t="s">
        <v>72</v>
      </c>
      <c r="H37" s="65">
        <v>7000</v>
      </c>
      <c r="I37" s="36">
        <v>0.24</v>
      </c>
      <c r="J37" s="42">
        <f t="shared" si="1"/>
        <v>1680</v>
      </c>
    </row>
    <row r="38" ht="16.5" spans="1:10">
      <c r="A38" s="27"/>
      <c r="B38" s="28"/>
      <c r="C38" s="28"/>
      <c r="D38" s="70"/>
      <c r="E38" s="28"/>
      <c r="F38" s="27"/>
      <c r="G38" s="36" t="s">
        <v>22</v>
      </c>
      <c r="H38" s="65">
        <v>7000</v>
      </c>
      <c r="I38" s="36">
        <v>0.11</v>
      </c>
      <c r="J38" s="42">
        <f t="shared" si="1"/>
        <v>770</v>
      </c>
    </row>
    <row r="39" ht="16.5" spans="1:10">
      <c r="A39" s="27"/>
      <c r="B39" s="28"/>
      <c r="C39" s="28"/>
      <c r="D39" s="70"/>
      <c r="E39" s="28"/>
      <c r="F39" s="27" t="s">
        <v>147</v>
      </c>
      <c r="G39" s="36" t="s">
        <v>60</v>
      </c>
      <c r="H39" s="36">
        <f>7000*5</f>
        <v>35000</v>
      </c>
      <c r="I39" s="36">
        <v>0.042</v>
      </c>
      <c r="J39" s="42">
        <f t="shared" si="1"/>
        <v>1470</v>
      </c>
    </row>
    <row r="40" ht="16.5" spans="1:10">
      <c r="A40" s="27"/>
      <c r="B40" s="28"/>
      <c r="C40" s="28"/>
      <c r="D40" s="70"/>
      <c r="E40" s="28"/>
      <c r="F40" s="27"/>
      <c r="G40" s="42" t="s">
        <v>143</v>
      </c>
      <c r="H40" s="36">
        <v>1800</v>
      </c>
      <c r="I40" s="36">
        <v>0.55</v>
      </c>
      <c r="J40" s="42">
        <f t="shared" si="1"/>
        <v>990</v>
      </c>
    </row>
    <row r="41" ht="16.5" spans="1:10">
      <c r="A41" s="27"/>
      <c r="B41" s="28"/>
      <c r="C41" s="28"/>
      <c r="D41" s="70"/>
      <c r="E41" s="28"/>
      <c r="F41" s="27"/>
      <c r="G41" s="71" t="s">
        <v>111</v>
      </c>
      <c r="H41" s="65">
        <v>300</v>
      </c>
      <c r="I41" s="65">
        <v>0.63</v>
      </c>
      <c r="J41" s="42">
        <f t="shared" si="1"/>
        <v>189</v>
      </c>
    </row>
    <row r="42" ht="16.5" spans="1:10">
      <c r="A42" s="27"/>
      <c r="B42" s="28"/>
      <c r="C42" s="28"/>
      <c r="D42" s="70"/>
      <c r="E42" s="28"/>
      <c r="F42" s="27"/>
      <c r="G42" s="36" t="s">
        <v>144</v>
      </c>
      <c r="H42" s="36">
        <v>7000</v>
      </c>
      <c r="I42" s="36">
        <v>0.098</v>
      </c>
      <c r="J42" s="42">
        <f t="shared" si="1"/>
        <v>686</v>
      </c>
    </row>
    <row r="43" ht="16.5" spans="1:10">
      <c r="A43" s="27">
        <v>45856</v>
      </c>
      <c r="B43" s="27" t="s">
        <v>117</v>
      </c>
      <c r="C43" s="98" t="s">
        <v>152</v>
      </c>
      <c r="D43" s="99" t="s">
        <v>153</v>
      </c>
      <c r="E43" s="27" t="s">
        <v>154</v>
      </c>
      <c r="F43" s="100"/>
      <c r="G43" s="101" t="s">
        <v>103</v>
      </c>
      <c r="H43" s="101">
        <v>1900</v>
      </c>
      <c r="I43" s="107">
        <v>0.85</v>
      </c>
      <c r="J43" s="101">
        <f t="shared" si="1"/>
        <v>1615</v>
      </c>
    </row>
    <row r="44" ht="16.5" spans="1:10">
      <c r="A44" s="27"/>
      <c r="B44" s="27"/>
      <c r="C44" s="102"/>
      <c r="D44" s="99"/>
      <c r="E44" s="27"/>
      <c r="F44" s="100"/>
      <c r="G44" s="101" t="s">
        <v>104</v>
      </c>
      <c r="H44" s="101">
        <f>1900*0.01</f>
        <v>19</v>
      </c>
      <c r="I44" s="107">
        <v>0</v>
      </c>
      <c r="J44" s="101">
        <f t="shared" si="1"/>
        <v>0</v>
      </c>
    </row>
    <row r="45" ht="16.5" spans="1:10">
      <c r="A45" s="27"/>
      <c r="B45" s="27"/>
      <c r="C45" s="102"/>
      <c r="D45" s="99"/>
      <c r="E45" s="27"/>
      <c r="F45" s="100"/>
      <c r="G45" s="101" t="s">
        <v>105</v>
      </c>
      <c r="H45" s="101">
        <f>5*5+5</f>
        <v>30</v>
      </c>
      <c r="I45" s="107">
        <v>0</v>
      </c>
      <c r="J45" s="101">
        <f t="shared" si="1"/>
        <v>0</v>
      </c>
    </row>
    <row r="46" ht="16.5" spans="1:10">
      <c r="A46" s="27"/>
      <c r="B46" s="27"/>
      <c r="C46" s="102"/>
      <c r="D46" s="99"/>
      <c r="E46" s="27"/>
      <c r="F46" s="100" t="s">
        <v>155</v>
      </c>
      <c r="G46" s="36" t="s">
        <v>106</v>
      </c>
      <c r="H46" s="36">
        <f>3900*4</f>
        <v>15600</v>
      </c>
      <c r="I46" s="36">
        <v>0.042</v>
      </c>
      <c r="J46" s="42">
        <f t="shared" si="1"/>
        <v>655.2</v>
      </c>
    </row>
    <row r="47" ht="16.5" spans="1:10">
      <c r="A47" s="27"/>
      <c r="B47" s="27"/>
      <c r="C47" s="102"/>
      <c r="D47" s="99"/>
      <c r="E47" s="27"/>
      <c r="F47" s="103"/>
      <c r="G47" s="36" t="s">
        <v>156</v>
      </c>
      <c r="H47" s="36">
        <v>3900</v>
      </c>
      <c r="I47" s="65">
        <v>0.027</v>
      </c>
      <c r="J47" s="42">
        <f t="shared" si="1"/>
        <v>105.3</v>
      </c>
    </row>
    <row r="48" ht="16.5" spans="1:10">
      <c r="A48" s="27"/>
      <c r="B48" s="27"/>
      <c r="C48" s="102"/>
      <c r="D48" s="99"/>
      <c r="E48" s="27"/>
      <c r="F48" s="100" t="s">
        <v>157</v>
      </c>
      <c r="G48" s="28" t="s">
        <v>158</v>
      </c>
      <c r="H48" s="36">
        <f>1900</f>
        <v>1900</v>
      </c>
      <c r="I48" s="71">
        <v>0.312</v>
      </c>
      <c r="J48" s="42">
        <f t="shared" si="1"/>
        <v>592.8</v>
      </c>
    </row>
    <row r="49" ht="16.5" spans="1:10">
      <c r="A49" s="27"/>
      <c r="B49" s="27"/>
      <c r="C49" s="102"/>
      <c r="D49" s="99"/>
      <c r="E49" s="27"/>
      <c r="F49" s="100" t="s">
        <v>159</v>
      </c>
      <c r="G49" s="28" t="s">
        <v>158</v>
      </c>
      <c r="H49" s="36">
        <f>2000</f>
        <v>2000</v>
      </c>
      <c r="I49" s="71">
        <v>0.312</v>
      </c>
      <c r="J49" s="42">
        <f t="shared" si="1"/>
        <v>624</v>
      </c>
    </row>
    <row r="50" ht="16.5" spans="1:10">
      <c r="A50" s="27"/>
      <c r="B50" s="27"/>
      <c r="C50" s="102"/>
      <c r="D50" s="99"/>
      <c r="E50" s="27"/>
      <c r="F50" s="100" t="s">
        <v>157</v>
      </c>
      <c r="G50" s="104" t="s">
        <v>160</v>
      </c>
      <c r="H50" s="36">
        <f t="shared" ref="H50:H52" si="2">1900+2000</f>
        <v>3900</v>
      </c>
      <c r="I50" s="36">
        <v>0.32</v>
      </c>
      <c r="J50" s="42">
        <f t="shared" si="1"/>
        <v>1248</v>
      </c>
    </row>
    <row r="51" ht="16.5" spans="1:10">
      <c r="A51" s="27"/>
      <c r="B51" s="27"/>
      <c r="C51" s="102"/>
      <c r="D51" s="99"/>
      <c r="E51" s="27"/>
      <c r="F51" s="105"/>
      <c r="G51" s="42" t="s">
        <v>161</v>
      </c>
      <c r="H51" s="36">
        <f t="shared" si="2"/>
        <v>3900</v>
      </c>
      <c r="I51" s="42">
        <v>0.11</v>
      </c>
      <c r="J51" s="42">
        <f t="shared" si="1"/>
        <v>429</v>
      </c>
    </row>
    <row r="52" ht="16.5" spans="1:10">
      <c r="A52" s="27"/>
      <c r="B52" s="27"/>
      <c r="C52" s="102"/>
      <c r="D52" s="99"/>
      <c r="E52" s="27"/>
      <c r="F52" s="105" t="s">
        <v>162</v>
      </c>
      <c r="G52" s="106" t="s">
        <v>163</v>
      </c>
      <c r="H52" s="36">
        <f t="shared" si="2"/>
        <v>3900</v>
      </c>
      <c r="I52" s="42">
        <v>0.13</v>
      </c>
      <c r="J52" s="42">
        <f t="shared" si="1"/>
        <v>507</v>
      </c>
    </row>
    <row r="53" ht="16.5" spans="1:10">
      <c r="A53" s="27">
        <v>45869</v>
      </c>
      <c r="B53" s="27" t="s">
        <v>117</v>
      </c>
      <c r="C53" s="98" t="s">
        <v>164</v>
      </c>
      <c r="D53" s="99" t="s">
        <v>165</v>
      </c>
      <c r="E53" s="27" t="s">
        <v>166</v>
      </c>
      <c r="F53" s="27" t="s">
        <v>167</v>
      </c>
      <c r="G53" s="36" t="s">
        <v>106</v>
      </c>
      <c r="H53" s="36">
        <f>13026*4</f>
        <v>52104</v>
      </c>
      <c r="I53" s="79">
        <v>0.042</v>
      </c>
      <c r="J53" s="42">
        <f t="shared" si="1"/>
        <v>2188.368</v>
      </c>
    </row>
    <row r="54" ht="16.5" spans="1:10">
      <c r="A54" s="27"/>
      <c r="B54" s="27"/>
      <c r="C54" s="102"/>
      <c r="D54" s="99"/>
      <c r="E54" s="27"/>
      <c r="F54" s="27"/>
      <c r="G54" s="36" t="s">
        <v>156</v>
      </c>
      <c r="H54" s="36">
        <f>5500+13</f>
        <v>5513</v>
      </c>
      <c r="I54" s="108">
        <v>0.027</v>
      </c>
      <c r="J54" s="42">
        <f t="shared" si="1"/>
        <v>148.851</v>
      </c>
    </row>
    <row r="55" ht="16.5" spans="1:10">
      <c r="A55" s="27"/>
      <c r="B55" s="27"/>
      <c r="C55" s="102"/>
      <c r="D55" s="99"/>
      <c r="E55" s="27"/>
      <c r="F55" s="27" t="s">
        <v>168</v>
      </c>
      <c r="G55" s="28" t="s">
        <v>72</v>
      </c>
      <c r="H55" s="36">
        <f>13000+26</f>
        <v>13026</v>
      </c>
      <c r="I55" s="79">
        <v>0.24</v>
      </c>
      <c r="J55" s="42">
        <f t="shared" si="1"/>
        <v>3126.24</v>
      </c>
    </row>
    <row r="56" ht="16.5" spans="1:10">
      <c r="A56" s="27"/>
      <c r="B56" s="27"/>
      <c r="C56" s="102"/>
      <c r="D56" s="99"/>
      <c r="E56" s="27"/>
      <c r="F56" s="27"/>
      <c r="G56" s="28" t="s">
        <v>161</v>
      </c>
      <c r="H56" s="36">
        <v>13026</v>
      </c>
      <c r="I56" s="79">
        <v>0.11</v>
      </c>
      <c r="J56" s="42">
        <f t="shared" si="1"/>
        <v>1432.86</v>
      </c>
    </row>
    <row r="57" ht="16.5" spans="1:10">
      <c r="A57" s="27"/>
      <c r="B57" s="27"/>
      <c r="C57" s="102"/>
      <c r="D57" s="99"/>
      <c r="E57" s="27"/>
      <c r="F57" s="27" t="s">
        <v>167</v>
      </c>
      <c r="G57" s="28" t="s">
        <v>143</v>
      </c>
      <c r="H57" s="36">
        <v>2000</v>
      </c>
      <c r="I57" s="36">
        <v>0.55</v>
      </c>
      <c r="J57" s="42">
        <f t="shared" si="1"/>
        <v>1100</v>
      </c>
    </row>
    <row r="58" ht="16.5" spans="1:10">
      <c r="A58" s="27"/>
      <c r="B58" s="27"/>
      <c r="C58" s="102"/>
      <c r="D58" s="99"/>
      <c r="E58" s="27"/>
      <c r="F58" s="27"/>
      <c r="G58" s="28" t="s">
        <v>111</v>
      </c>
      <c r="H58" s="36">
        <v>1450</v>
      </c>
      <c r="I58" s="65">
        <v>0.63</v>
      </c>
      <c r="J58" s="42">
        <f t="shared" si="1"/>
        <v>913.5</v>
      </c>
    </row>
    <row r="59" ht="16.5" spans="1:10">
      <c r="A59" s="27">
        <v>45888</v>
      </c>
      <c r="B59" s="27" t="s">
        <v>117</v>
      </c>
      <c r="C59" s="98" t="s">
        <v>169</v>
      </c>
      <c r="D59" s="99" t="s">
        <v>170</v>
      </c>
      <c r="E59" s="27" t="s">
        <v>171</v>
      </c>
      <c r="F59" s="27" t="s">
        <v>172</v>
      </c>
      <c r="G59" s="36" t="s">
        <v>106</v>
      </c>
      <c r="H59" s="36">
        <f>150*4</f>
        <v>600</v>
      </c>
      <c r="I59" s="36">
        <v>0.042</v>
      </c>
      <c r="J59" s="42">
        <f t="shared" si="1"/>
        <v>25.2</v>
      </c>
    </row>
    <row r="60" ht="16.5" spans="1:10">
      <c r="A60" s="27"/>
      <c r="B60" s="27"/>
      <c r="C60" s="102"/>
      <c r="D60" s="99"/>
      <c r="E60" s="27"/>
      <c r="F60" s="27"/>
      <c r="G60" s="36" t="s">
        <v>156</v>
      </c>
      <c r="H60" s="36">
        <v>150</v>
      </c>
      <c r="I60" s="65">
        <v>0.027</v>
      </c>
      <c r="J60" s="42">
        <f t="shared" si="1"/>
        <v>4.05</v>
      </c>
    </row>
    <row r="61" ht="16.5" spans="1:10">
      <c r="A61" s="27"/>
      <c r="B61" s="27"/>
      <c r="C61" s="102"/>
      <c r="D61" s="99"/>
      <c r="E61" s="27"/>
      <c r="F61" s="27"/>
      <c r="G61" s="106" t="s">
        <v>163</v>
      </c>
      <c r="H61" s="36">
        <v>150</v>
      </c>
      <c r="I61" s="42">
        <v>0.13</v>
      </c>
      <c r="J61" s="42">
        <f t="shared" si="1"/>
        <v>19.5</v>
      </c>
    </row>
    <row r="62" ht="16.5" spans="3:10">
      <c r="C62"/>
      <c r="F62"/>
      <c r="J62" s="109">
        <f>SUM(J3:J61)</f>
        <v>158899.259</v>
      </c>
    </row>
    <row r="63" ht="16.5" spans="3:10">
      <c r="C63"/>
      <c r="F63"/>
      <c r="I63" s="110" t="s">
        <v>173</v>
      </c>
      <c r="J63" s="81">
        <f>114267.85-111627.85</f>
        <v>2640</v>
      </c>
    </row>
    <row r="64" ht="16.5" spans="3:10">
      <c r="C64"/>
      <c r="F64"/>
      <c r="I64" s="110" t="s">
        <v>174</v>
      </c>
      <c r="J64" s="81">
        <f>71875.34-69598.66</f>
        <v>2276.67999999999</v>
      </c>
    </row>
    <row r="65" ht="16.5" spans="3:10">
      <c r="C65"/>
      <c r="F65"/>
      <c r="I65" s="110" t="s">
        <v>175</v>
      </c>
      <c r="J65" s="109">
        <f>29918.594-33735.63</f>
        <v>-3817.036</v>
      </c>
    </row>
    <row r="66" ht="16.5" spans="3:10">
      <c r="C66"/>
      <c r="F66"/>
      <c r="I66" s="110" t="s">
        <v>176</v>
      </c>
      <c r="J66" s="109">
        <v>899.800000000003</v>
      </c>
    </row>
    <row r="67" ht="16.5" spans="3:10">
      <c r="C67"/>
      <c r="F67"/>
      <c r="I67" s="110" t="s">
        <v>177</v>
      </c>
      <c r="J67" s="109">
        <f>J62+J63+J64+J65+J66</f>
        <v>160898.703</v>
      </c>
    </row>
    <row r="68" spans="3:6">
      <c r="C68"/>
      <c r="F68"/>
    </row>
    <row r="69" ht="16.5" spans="3:10">
      <c r="C69"/>
      <c r="F69"/>
      <c r="I69" s="110" t="s">
        <v>178</v>
      </c>
      <c r="J69" s="81">
        <f>116739.4-115139.4</f>
        <v>1600</v>
      </c>
    </row>
    <row r="70" spans="3:6">
      <c r="C70"/>
      <c r="F70"/>
    </row>
    <row r="81" ht="28.5" spans="1:10">
      <c r="A81" s="48" t="s">
        <v>179</v>
      </c>
      <c r="B81" s="48"/>
      <c r="C81" s="48"/>
      <c r="D81" s="48"/>
      <c r="E81" s="48"/>
      <c r="F81" s="48"/>
      <c r="G81" s="48"/>
      <c r="H81" s="48"/>
      <c r="I81" s="48"/>
      <c r="J81" s="48"/>
    </row>
    <row r="82" ht="14.5" spans="1:10">
      <c r="A82" s="49" t="s">
        <v>180</v>
      </c>
      <c r="B82" s="49" t="s">
        <v>181</v>
      </c>
      <c r="C82" s="49" t="s">
        <v>182</v>
      </c>
      <c r="D82" s="49" t="s">
        <v>183</v>
      </c>
      <c r="E82" s="49" t="s">
        <v>184</v>
      </c>
      <c r="F82" s="50" t="s">
        <v>185</v>
      </c>
      <c r="G82" s="49" t="s">
        <v>186</v>
      </c>
      <c r="H82" s="49" t="s">
        <v>187</v>
      </c>
      <c r="I82" s="49" t="s">
        <v>188</v>
      </c>
      <c r="J82" s="49" t="s">
        <v>189</v>
      </c>
    </row>
    <row r="83" ht="28.5" spans="1:10">
      <c r="A83" s="49"/>
      <c r="B83" s="49"/>
      <c r="C83" s="49"/>
      <c r="D83" s="49" t="s">
        <v>190</v>
      </c>
      <c r="E83" s="49"/>
      <c r="F83" s="50" t="s">
        <v>191</v>
      </c>
      <c r="G83" s="49"/>
      <c r="H83" s="49"/>
      <c r="I83" s="51" t="s">
        <v>192</v>
      </c>
      <c r="J83" s="49"/>
    </row>
    <row r="84" s="1" customFormat="1" ht="28" spans="1:13">
      <c r="A84" s="111">
        <v>4</v>
      </c>
      <c r="B84" s="112">
        <v>45895</v>
      </c>
      <c r="C84" s="113" t="s">
        <v>193</v>
      </c>
      <c r="D84" s="113" t="s">
        <v>194</v>
      </c>
      <c r="E84" s="113" t="s">
        <v>195</v>
      </c>
      <c r="F84" s="113" t="s">
        <v>195</v>
      </c>
      <c r="G84" s="114" t="s">
        <v>195</v>
      </c>
      <c r="H84" s="115" t="s">
        <v>195</v>
      </c>
      <c r="I84" s="116">
        <v>116739.4</v>
      </c>
      <c r="J84" s="115"/>
      <c r="M84" s="1">
        <f>42115.56+6060.12+7842.94+5265.62+2057.19+2662.24+205.44+5082.39+1199.99+1552.99+3146.29+25994.37+6935.96+6618.3</f>
        <v>116739.4</v>
      </c>
    </row>
  </sheetData>
  <autoFilter xmlns:etc="http://www.wps.cn/officeDocument/2017/etCustomData" ref="A1:J67" etc:filterBottomFollowUsedRange="0">
    <extLst/>
  </autoFilter>
  <mergeCells count="59">
    <mergeCell ref="A1:J1"/>
    <mergeCell ref="A81:J81"/>
    <mergeCell ref="A3:A23"/>
    <mergeCell ref="A24:A32"/>
    <mergeCell ref="A33:A34"/>
    <mergeCell ref="A35:A42"/>
    <mergeCell ref="A43:A52"/>
    <mergeCell ref="A53:A58"/>
    <mergeCell ref="A59:A61"/>
    <mergeCell ref="A82:A83"/>
    <mergeCell ref="B3:B23"/>
    <mergeCell ref="B24:B32"/>
    <mergeCell ref="B33:B34"/>
    <mergeCell ref="B35:B42"/>
    <mergeCell ref="B43:B52"/>
    <mergeCell ref="B53:B58"/>
    <mergeCell ref="B59:B61"/>
    <mergeCell ref="B82:B83"/>
    <mergeCell ref="C3:C23"/>
    <mergeCell ref="C24:C32"/>
    <mergeCell ref="C33:C34"/>
    <mergeCell ref="C35:C42"/>
    <mergeCell ref="C43:C52"/>
    <mergeCell ref="C53:C58"/>
    <mergeCell ref="C59:C61"/>
    <mergeCell ref="C82:C83"/>
    <mergeCell ref="D3:D23"/>
    <mergeCell ref="D24:D32"/>
    <mergeCell ref="D33:D34"/>
    <mergeCell ref="D35:D42"/>
    <mergeCell ref="D43:D52"/>
    <mergeCell ref="D53:D58"/>
    <mergeCell ref="D59:D61"/>
    <mergeCell ref="E3:E23"/>
    <mergeCell ref="E24:E32"/>
    <mergeCell ref="E33:E34"/>
    <mergeCell ref="E35:E42"/>
    <mergeCell ref="E43:E52"/>
    <mergeCell ref="E53:E58"/>
    <mergeCell ref="E59:E61"/>
    <mergeCell ref="E82:E83"/>
    <mergeCell ref="F3:F4"/>
    <mergeCell ref="F5:F6"/>
    <mergeCell ref="F10:F12"/>
    <mergeCell ref="F21:F22"/>
    <mergeCell ref="F24:F32"/>
    <mergeCell ref="F33:F34"/>
    <mergeCell ref="F35:F36"/>
    <mergeCell ref="F37:F38"/>
    <mergeCell ref="F39:F42"/>
    <mergeCell ref="F46:F47"/>
    <mergeCell ref="F50:F51"/>
    <mergeCell ref="F53:F54"/>
    <mergeCell ref="F55:F56"/>
    <mergeCell ref="F57:F58"/>
    <mergeCell ref="F59:F61"/>
    <mergeCell ref="G82:G83"/>
    <mergeCell ref="H82:H83"/>
    <mergeCell ref="J82:J8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4"/>
  <sheetViews>
    <sheetView tabSelected="1" zoomScale="115" zoomScaleNormal="115" topLeftCell="A64" workbookViewId="0">
      <selection activeCell="J24" sqref="J24:J4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61.8818181818182" customWidth="1"/>
    <col min="8" max="8" width="9.45454545454546" customWidth="1"/>
    <col min="9" max="9" width="12.3636363636364" customWidth="1"/>
    <col min="10" max="10" width="15.1818181818182" customWidth="1"/>
    <col min="11" max="13" width="9.54545454545454"/>
    <col min="16" max="16" width="9.54545454545454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82" customFormat="1" ht="16.5" hidden="1" spans="1:10">
      <c r="A3" s="83">
        <v>45796</v>
      </c>
      <c r="B3" s="84" t="s">
        <v>117</v>
      </c>
      <c r="C3" s="84" t="s">
        <v>118</v>
      </c>
      <c r="D3" s="85" t="s">
        <v>119</v>
      </c>
      <c r="E3" s="84" t="s">
        <v>120</v>
      </c>
      <c r="F3" s="83" t="s">
        <v>121</v>
      </c>
      <c r="G3" s="86" t="s">
        <v>72</v>
      </c>
      <c r="H3" s="87">
        <v>18000</v>
      </c>
      <c r="I3" s="87">
        <v>0.24</v>
      </c>
      <c r="J3" s="86">
        <f t="shared" ref="J3:J61" si="0">H3*I3</f>
        <v>4320</v>
      </c>
    </row>
    <row r="4" s="82" customFormat="1" ht="16.5" hidden="1" spans="1:10">
      <c r="A4" s="83"/>
      <c r="B4" s="84"/>
      <c r="C4" s="84"/>
      <c r="D4" s="85"/>
      <c r="E4" s="84"/>
      <c r="F4" s="83"/>
      <c r="G4" s="86" t="s">
        <v>108</v>
      </c>
      <c r="H4" s="87">
        <f>105+90+70+70+110+95+75+95+105</f>
        <v>815</v>
      </c>
      <c r="I4" s="87">
        <v>0.24</v>
      </c>
      <c r="J4" s="86">
        <f t="shared" si="0"/>
        <v>195.6</v>
      </c>
    </row>
    <row r="5" s="82" customFormat="1" ht="16.5" hidden="1" spans="1:10">
      <c r="A5" s="83"/>
      <c r="B5" s="84"/>
      <c r="C5" s="84"/>
      <c r="D5" s="85"/>
      <c r="E5" s="84"/>
      <c r="F5" s="83" t="s">
        <v>122</v>
      </c>
      <c r="G5" s="87" t="s">
        <v>22</v>
      </c>
      <c r="H5" s="87">
        <f>47000*1.01</f>
        <v>47470</v>
      </c>
      <c r="I5" s="87">
        <v>0.11</v>
      </c>
      <c r="J5" s="86">
        <f t="shared" si="0"/>
        <v>5221.7</v>
      </c>
    </row>
    <row r="6" s="82" customFormat="1" ht="16.5" hidden="1" spans="1:10">
      <c r="A6" s="83"/>
      <c r="B6" s="84"/>
      <c r="C6" s="84"/>
      <c r="D6" s="85"/>
      <c r="E6" s="84"/>
      <c r="F6" s="83"/>
      <c r="G6" s="86" t="s">
        <v>123</v>
      </c>
      <c r="H6" s="87">
        <f>35000*1.01</f>
        <v>35350</v>
      </c>
      <c r="I6" s="87">
        <v>0.22</v>
      </c>
      <c r="J6" s="86">
        <f t="shared" si="0"/>
        <v>7777</v>
      </c>
    </row>
    <row r="7" s="82" customFormat="1" ht="16.5" hidden="1" spans="1:10">
      <c r="A7" s="83"/>
      <c r="B7" s="84"/>
      <c r="C7" s="84"/>
      <c r="D7" s="85"/>
      <c r="E7" s="84"/>
      <c r="F7" s="83" t="s">
        <v>124</v>
      </c>
      <c r="G7" s="86" t="s">
        <v>125</v>
      </c>
      <c r="H7" s="87">
        <f>12000</f>
        <v>12000</v>
      </c>
      <c r="I7" s="87">
        <v>0.22</v>
      </c>
      <c r="J7" s="86">
        <f t="shared" si="0"/>
        <v>2640</v>
      </c>
    </row>
    <row r="8" s="82" customFormat="1" ht="16.5" hidden="1" spans="1:10">
      <c r="A8" s="83"/>
      <c r="B8" s="84"/>
      <c r="C8" s="84"/>
      <c r="D8" s="85"/>
      <c r="E8" s="84"/>
      <c r="F8" s="83" t="s">
        <v>122</v>
      </c>
      <c r="G8" s="87" t="s">
        <v>126</v>
      </c>
      <c r="H8" s="87">
        <f>35000*4*1.01</f>
        <v>141400</v>
      </c>
      <c r="I8" s="87">
        <v>0.042</v>
      </c>
      <c r="J8" s="86">
        <f t="shared" si="0"/>
        <v>5938.8</v>
      </c>
    </row>
    <row r="9" s="82" customFormat="1" ht="16.5" hidden="1" spans="1:10">
      <c r="A9" s="83"/>
      <c r="B9" s="84"/>
      <c r="C9" s="84"/>
      <c r="D9" s="85"/>
      <c r="E9" s="84"/>
      <c r="F9" s="83" t="s">
        <v>124</v>
      </c>
      <c r="G9" s="87" t="s">
        <v>127</v>
      </c>
      <c r="H9" s="87">
        <f>12000*4</f>
        <v>48000</v>
      </c>
      <c r="I9" s="87">
        <v>0.042</v>
      </c>
      <c r="J9" s="86">
        <f t="shared" si="0"/>
        <v>2016</v>
      </c>
    </row>
    <row r="10" s="82" customFormat="1" ht="16.5" hidden="1" spans="1:10">
      <c r="A10" s="83"/>
      <c r="B10" s="84"/>
      <c r="C10" s="84"/>
      <c r="D10" s="85"/>
      <c r="E10" s="84"/>
      <c r="F10" s="83" t="s">
        <v>122</v>
      </c>
      <c r="G10" s="87" t="s">
        <v>128</v>
      </c>
      <c r="H10" s="87">
        <f>47000</f>
        <v>47000</v>
      </c>
      <c r="I10" s="87">
        <v>0.89</v>
      </c>
      <c r="J10" s="86">
        <f t="shared" si="0"/>
        <v>41830</v>
      </c>
    </row>
    <row r="11" s="82" customFormat="1" ht="16.5" hidden="1" spans="1:10">
      <c r="A11" s="83"/>
      <c r="B11" s="84"/>
      <c r="C11" s="84"/>
      <c r="D11" s="85"/>
      <c r="E11" s="84"/>
      <c r="F11" s="83"/>
      <c r="G11" s="87" t="s">
        <v>129</v>
      </c>
      <c r="H11" s="87">
        <f>47000*0.01</f>
        <v>470</v>
      </c>
      <c r="I11" s="87">
        <v>0</v>
      </c>
      <c r="J11" s="86">
        <f t="shared" si="0"/>
        <v>0</v>
      </c>
    </row>
    <row r="12" s="82" customFormat="1" ht="16.5" hidden="1" spans="1:10">
      <c r="A12" s="83"/>
      <c r="B12" s="84"/>
      <c r="C12" s="84"/>
      <c r="D12" s="85"/>
      <c r="E12" s="84"/>
      <c r="F12" s="83"/>
      <c r="G12" s="87" t="s">
        <v>130</v>
      </c>
      <c r="H12" s="87">
        <f>2*6*5+5</f>
        <v>65</v>
      </c>
      <c r="I12" s="87">
        <v>0</v>
      </c>
      <c r="J12" s="86">
        <f t="shared" si="0"/>
        <v>0</v>
      </c>
    </row>
    <row r="13" s="82" customFormat="1" ht="16.5" hidden="1" spans="1:10">
      <c r="A13" s="83"/>
      <c r="B13" s="84"/>
      <c r="C13" s="84"/>
      <c r="D13" s="85"/>
      <c r="E13" s="84"/>
      <c r="F13" s="83" t="s">
        <v>131</v>
      </c>
      <c r="G13" s="86" t="s">
        <v>72</v>
      </c>
      <c r="H13" s="87">
        <v>13000</v>
      </c>
      <c r="I13" s="87">
        <v>0.24</v>
      </c>
      <c r="J13" s="86">
        <f t="shared" si="0"/>
        <v>3120</v>
      </c>
    </row>
    <row r="14" s="82" customFormat="1" ht="16.5" hidden="1" spans="1:10">
      <c r="A14" s="83"/>
      <c r="B14" s="84"/>
      <c r="C14" s="84"/>
      <c r="D14" s="85"/>
      <c r="E14" s="84"/>
      <c r="F14" s="83" t="s">
        <v>132</v>
      </c>
      <c r="G14" s="86" t="s">
        <v>72</v>
      </c>
      <c r="H14" s="87">
        <v>9000</v>
      </c>
      <c r="I14" s="87">
        <v>0.24</v>
      </c>
      <c r="J14" s="86">
        <f t="shared" si="0"/>
        <v>2160</v>
      </c>
    </row>
    <row r="15" s="82" customFormat="1" ht="16.5" hidden="1" spans="1:10">
      <c r="A15" s="83"/>
      <c r="B15" s="84"/>
      <c r="C15" s="84"/>
      <c r="D15" s="85"/>
      <c r="E15" s="84"/>
      <c r="F15" s="83" t="s">
        <v>132</v>
      </c>
      <c r="G15" s="87" t="s">
        <v>22</v>
      </c>
      <c r="H15" s="87">
        <v>28530</v>
      </c>
      <c r="I15" s="87">
        <v>0.11</v>
      </c>
      <c r="J15" s="86">
        <f t="shared" si="0"/>
        <v>3138.3</v>
      </c>
    </row>
    <row r="16" s="82" customFormat="1" ht="16.5" hidden="1" spans="1:10">
      <c r="A16" s="83"/>
      <c r="B16" s="84"/>
      <c r="C16" s="84"/>
      <c r="D16" s="85"/>
      <c r="E16" s="84"/>
      <c r="F16" s="83" t="s">
        <v>131</v>
      </c>
      <c r="G16" s="86" t="s">
        <v>125</v>
      </c>
      <c r="H16" s="87">
        <v>7000</v>
      </c>
      <c r="I16" s="87">
        <v>0.22</v>
      </c>
      <c r="J16" s="86">
        <f t="shared" si="0"/>
        <v>1540</v>
      </c>
    </row>
    <row r="17" s="82" customFormat="1" ht="16.5" hidden="1" spans="1:10">
      <c r="A17" s="83"/>
      <c r="B17" s="84"/>
      <c r="C17" s="84"/>
      <c r="D17" s="85"/>
      <c r="E17" s="84"/>
      <c r="F17" s="83" t="s">
        <v>132</v>
      </c>
      <c r="G17" s="86" t="s">
        <v>125</v>
      </c>
      <c r="H17" s="87">
        <v>6000</v>
      </c>
      <c r="I17" s="87">
        <v>0.22</v>
      </c>
      <c r="J17" s="86">
        <f t="shared" si="0"/>
        <v>1320</v>
      </c>
    </row>
    <row r="18" s="82" customFormat="1" ht="16.5" hidden="1" spans="1:10">
      <c r="A18" s="83"/>
      <c r="B18" s="84"/>
      <c r="C18" s="84"/>
      <c r="D18" s="85"/>
      <c r="E18" s="84"/>
      <c r="F18" s="83" t="s">
        <v>131</v>
      </c>
      <c r="G18" s="87" t="s">
        <v>127</v>
      </c>
      <c r="H18" s="87">
        <f>7000*4</f>
        <v>28000</v>
      </c>
      <c r="I18" s="87">
        <v>0.042</v>
      </c>
      <c r="J18" s="86">
        <f t="shared" si="0"/>
        <v>1176</v>
      </c>
    </row>
    <row r="19" s="82" customFormat="1" ht="16.5" hidden="1" spans="1:10">
      <c r="A19" s="83"/>
      <c r="B19" s="84"/>
      <c r="C19" s="84"/>
      <c r="D19" s="85"/>
      <c r="E19" s="84"/>
      <c r="F19" s="83" t="s">
        <v>133</v>
      </c>
      <c r="G19" s="87" t="s">
        <v>127</v>
      </c>
      <c r="H19" s="87">
        <f>6000*4</f>
        <v>24000</v>
      </c>
      <c r="I19" s="87">
        <v>0.042</v>
      </c>
      <c r="J19" s="86">
        <f t="shared" si="0"/>
        <v>1008</v>
      </c>
    </row>
    <row r="20" s="82" customFormat="1" ht="16.5" hidden="1" spans="1:10">
      <c r="A20" s="83"/>
      <c r="B20" s="84"/>
      <c r="C20" s="84"/>
      <c r="D20" s="85"/>
      <c r="E20" s="84"/>
      <c r="F20" s="83" t="s">
        <v>133</v>
      </c>
      <c r="G20" s="87" t="s">
        <v>134</v>
      </c>
      <c r="H20" s="87">
        <f>3500*4</f>
        <v>14000</v>
      </c>
      <c r="I20" s="87">
        <v>0.042</v>
      </c>
      <c r="J20" s="86">
        <f t="shared" si="0"/>
        <v>588</v>
      </c>
    </row>
    <row r="21" s="82" customFormat="1" ht="16.5" hidden="1" spans="1:10">
      <c r="A21" s="83"/>
      <c r="B21" s="84"/>
      <c r="C21" s="84"/>
      <c r="D21" s="85"/>
      <c r="E21" s="84"/>
      <c r="F21" s="83" t="s">
        <v>133</v>
      </c>
      <c r="G21" s="87" t="s">
        <v>128</v>
      </c>
      <c r="H21" s="87">
        <f>3154+5384+7609+5866+5100+1887</f>
        <v>29000</v>
      </c>
      <c r="I21" s="87">
        <v>0.89</v>
      </c>
      <c r="J21" s="86">
        <f t="shared" si="0"/>
        <v>25810</v>
      </c>
    </row>
    <row r="22" s="82" customFormat="1" ht="16.5" hidden="1" spans="1:10">
      <c r="A22" s="83"/>
      <c r="B22" s="84"/>
      <c r="C22" s="84"/>
      <c r="D22" s="85"/>
      <c r="E22" s="84"/>
      <c r="F22" s="83"/>
      <c r="G22" s="87" t="s">
        <v>129</v>
      </c>
      <c r="H22" s="87">
        <f>H21*0.01</f>
        <v>290</v>
      </c>
      <c r="I22" s="87">
        <v>0</v>
      </c>
      <c r="J22" s="86">
        <f t="shared" si="0"/>
        <v>0</v>
      </c>
    </row>
    <row r="23" s="82" customFormat="1" ht="16.5" hidden="1" spans="1:10">
      <c r="A23" s="83"/>
      <c r="B23" s="84"/>
      <c r="C23" s="84"/>
      <c r="D23" s="85"/>
      <c r="E23" s="84"/>
      <c r="F23" s="83" t="s">
        <v>133</v>
      </c>
      <c r="G23" s="87" t="s">
        <v>135</v>
      </c>
      <c r="H23" s="87">
        <v>44500</v>
      </c>
      <c r="I23" s="87">
        <v>0.12</v>
      </c>
      <c r="J23" s="86">
        <f t="shared" si="0"/>
        <v>5340</v>
      </c>
    </row>
    <row r="24" ht="16.5" spans="1:10">
      <c r="A24" s="88">
        <v>45827</v>
      </c>
      <c r="B24" s="89" t="s">
        <v>117</v>
      </c>
      <c r="C24" s="89" t="s">
        <v>136</v>
      </c>
      <c r="D24" s="90" t="s">
        <v>137</v>
      </c>
      <c r="E24" s="89" t="s">
        <v>138</v>
      </c>
      <c r="F24" s="91" t="s">
        <v>139</v>
      </c>
      <c r="G24" s="92" t="s">
        <v>140</v>
      </c>
      <c r="H24" s="93">
        <f t="shared" ref="H24:H28" si="1">8000+13</f>
        <v>8013</v>
      </c>
      <c r="I24" s="93">
        <v>1.07</v>
      </c>
      <c r="J24" s="92">
        <f>H24*I24</f>
        <v>8573.91</v>
      </c>
    </row>
    <row r="25" ht="16.5" spans="1:10">
      <c r="A25" s="88"/>
      <c r="B25" s="89"/>
      <c r="C25" s="89"/>
      <c r="D25" s="90"/>
      <c r="E25" s="89"/>
      <c r="F25" s="94"/>
      <c r="G25" s="92" t="s">
        <v>141</v>
      </c>
      <c r="H25" s="93">
        <v>80</v>
      </c>
      <c r="I25" s="93">
        <v>0</v>
      </c>
      <c r="J25" s="92">
        <f t="shared" ref="J25:J42" si="2">H25*I25</f>
        <v>0</v>
      </c>
    </row>
    <row r="26" ht="16.5" spans="1:10">
      <c r="A26" s="88"/>
      <c r="B26" s="89"/>
      <c r="C26" s="89"/>
      <c r="D26" s="90"/>
      <c r="E26" s="89"/>
      <c r="F26" s="94"/>
      <c r="G26" s="92" t="s">
        <v>142</v>
      </c>
      <c r="H26" s="93">
        <f>5*5+5</f>
        <v>30</v>
      </c>
      <c r="I26" s="93">
        <v>0</v>
      </c>
      <c r="J26" s="92">
        <f t="shared" si="2"/>
        <v>0</v>
      </c>
    </row>
    <row r="27" ht="16.5" spans="1:10">
      <c r="A27" s="88"/>
      <c r="B27" s="89"/>
      <c r="C27" s="89"/>
      <c r="D27" s="90"/>
      <c r="E27" s="89"/>
      <c r="F27" s="94"/>
      <c r="G27" s="92" t="s">
        <v>72</v>
      </c>
      <c r="H27" s="93">
        <f t="shared" si="1"/>
        <v>8013</v>
      </c>
      <c r="I27" s="95">
        <v>0.24</v>
      </c>
      <c r="J27" s="92">
        <f t="shared" si="2"/>
        <v>1923.12</v>
      </c>
    </row>
    <row r="28" ht="16.5" spans="1:10">
      <c r="A28" s="88"/>
      <c r="B28" s="89"/>
      <c r="C28" s="89"/>
      <c r="D28" s="90"/>
      <c r="E28" s="89"/>
      <c r="F28" s="94"/>
      <c r="G28" s="95" t="s">
        <v>22</v>
      </c>
      <c r="H28" s="93">
        <f t="shared" si="1"/>
        <v>8013</v>
      </c>
      <c r="I28" s="95">
        <v>0.11</v>
      </c>
      <c r="J28" s="92">
        <f t="shared" si="2"/>
        <v>881.43</v>
      </c>
    </row>
    <row r="29" ht="16.5" spans="1:10">
      <c r="A29" s="88"/>
      <c r="B29" s="89"/>
      <c r="C29" s="89"/>
      <c r="D29" s="90"/>
      <c r="E29" s="89"/>
      <c r="F29" s="94"/>
      <c r="G29" s="95" t="s">
        <v>60</v>
      </c>
      <c r="H29" s="95">
        <f>8013*5</f>
        <v>40065</v>
      </c>
      <c r="I29" s="95">
        <v>0.042</v>
      </c>
      <c r="J29" s="92">
        <f t="shared" si="2"/>
        <v>1682.73</v>
      </c>
    </row>
    <row r="30" ht="16.5" spans="1:10">
      <c r="A30" s="88"/>
      <c r="B30" s="89"/>
      <c r="C30" s="89"/>
      <c r="D30" s="90"/>
      <c r="E30" s="89"/>
      <c r="F30" s="94"/>
      <c r="G30" s="92" t="s">
        <v>143</v>
      </c>
      <c r="H30" s="95">
        <v>2122</v>
      </c>
      <c r="I30" s="95">
        <v>0.55</v>
      </c>
      <c r="J30" s="92">
        <f t="shared" si="2"/>
        <v>1167.1</v>
      </c>
    </row>
    <row r="31" ht="16.5" spans="1:10">
      <c r="A31" s="88"/>
      <c r="B31" s="89"/>
      <c r="C31" s="89"/>
      <c r="D31" s="90"/>
      <c r="E31" s="89"/>
      <c r="F31" s="94"/>
      <c r="G31" s="96" t="s">
        <v>111</v>
      </c>
      <c r="H31" s="93">
        <v>360</v>
      </c>
      <c r="I31" s="93">
        <v>0.63</v>
      </c>
      <c r="J31" s="92">
        <f t="shared" si="2"/>
        <v>226.8</v>
      </c>
    </row>
    <row r="32" ht="16.5" spans="1:10">
      <c r="A32" s="88"/>
      <c r="B32" s="89"/>
      <c r="C32" s="89"/>
      <c r="D32" s="90"/>
      <c r="E32" s="89"/>
      <c r="F32" s="97"/>
      <c r="G32" s="95" t="s">
        <v>144</v>
      </c>
      <c r="H32" s="95">
        <v>8300</v>
      </c>
      <c r="I32" s="95">
        <v>0.098</v>
      </c>
      <c r="J32" s="92">
        <f t="shared" si="2"/>
        <v>813.4</v>
      </c>
    </row>
    <row r="33" ht="16.5" spans="1:10">
      <c r="A33" s="88">
        <v>45839</v>
      </c>
      <c r="B33" s="89" t="s">
        <v>117</v>
      </c>
      <c r="C33" s="89" t="s">
        <v>136</v>
      </c>
      <c r="D33" s="90" t="s">
        <v>145</v>
      </c>
      <c r="E33" s="89" t="s">
        <v>146</v>
      </c>
      <c r="F33" s="91" t="s">
        <v>147</v>
      </c>
      <c r="G33" s="92" t="s">
        <v>140</v>
      </c>
      <c r="H33" s="93">
        <f>22+52+89+60+17</f>
        <v>240</v>
      </c>
      <c r="I33" s="93">
        <v>1.07</v>
      </c>
      <c r="J33" s="92">
        <f t="shared" si="2"/>
        <v>256.8</v>
      </c>
    </row>
    <row r="34" ht="16.5" spans="1:10">
      <c r="A34" s="88"/>
      <c r="B34" s="89"/>
      <c r="C34" s="89"/>
      <c r="D34" s="90"/>
      <c r="E34" s="89"/>
      <c r="F34" s="94"/>
      <c r="G34" s="92" t="s">
        <v>141</v>
      </c>
      <c r="H34" s="93">
        <v>3</v>
      </c>
      <c r="I34" s="93">
        <v>0</v>
      </c>
      <c r="J34" s="92">
        <f t="shared" si="2"/>
        <v>0</v>
      </c>
    </row>
    <row r="35" ht="16.5" spans="1:10">
      <c r="A35" s="88">
        <v>45841</v>
      </c>
      <c r="B35" s="89" t="s">
        <v>117</v>
      </c>
      <c r="C35" s="89">
        <v>84687</v>
      </c>
      <c r="D35" s="90" t="s">
        <v>148</v>
      </c>
      <c r="E35" s="89" t="s">
        <v>149</v>
      </c>
      <c r="F35" s="88" t="s">
        <v>147</v>
      </c>
      <c r="G35" s="92" t="s">
        <v>150</v>
      </c>
      <c r="H35" s="93">
        <f>7000*1.03</f>
        <v>7210</v>
      </c>
      <c r="I35" s="93">
        <v>1.07</v>
      </c>
      <c r="J35" s="92">
        <f t="shared" si="2"/>
        <v>7714.7</v>
      </c>
    </row>
    <row r="36" ht="16.5" spans="1:10">
      <c r="A36" s="88"/>
      <c r="B36" s="89"/>
      <c r="C36" s="89"/>
      <c r="D36" s="90"/>
      <c r="E36" s="89"/>
      <c r="F36" s="88"/>
      <c r="G36" s="92" t="s">
        <v>141</v>
      </c>
      <c r="H36" s="93">
        <f>7000*0.01</f>
        <v>70</v>
      </c>
      <c r="I36" s="93">
        <v>0</v>
      </c>
      <c r="J36" s="92">
        <f t="shared" si="2"/>
        <v>0</v>
      </c>
    </row>
    <row r="37" ht="16.5" spans="1:10">
      <c r="A37" s="88"/>
      <c r="B37" s="89"/>
      <c r="C37" s="89"/>
      <c r="D37" s="90"/>
      <c r="E37" s="89"/>
      <c r="F37" s="88" t="s">
        <v>151</v>
      </c>
      <c r="G37" s="92" t="s">
        <v>72</v>
      </c>
      <c r="H37" s="93">
        <v>7000</v>
      </c>
      <c r="I37" s="95">
        <v>0.24</v>
      </c>
      <c r="J37" s="92">
        <f t="shared" si="2"/>
        <v>1680</v>
      </c>
    </row>
    <row r="38" ht="16.5" spans="1:10">
      <c r="A38" s="88"/>
      <c r="B38" s="89"/>
      <c r="C38" s="89"/>
      <c r="D38" s="90"/>
      <c r="E38" s="89"/>
      <c r="F38" s="88"/>
      <c r="G38" s="95" t="s">
        <v>22</v>
      </c>
      <c r="H38" s="93">
        <v>7000</v>
      </c>
      <c r="I38" s="95">
        <v>0.11</v>
      </c>
      <c r="J38" s="92">
        <f t="shared" si="2"/>
        <v>770</v>
      </c>
    </row>
    <row r="39" ht="16.5" spans="1:10">
      <c r="A39" s="88"/>
      <c r="B39" s="89"/>
      <c r="C39" s="89"/>
      <c r="D39" s="90"/>
      <c r="E39" s="89"/>
      <c r="F39" s="88" t="s">
        <v>147</v>
      </c>
      <c r="G39" s="95" t="s">
        <v>60</v>
      </c>
      <c r="H39" s="95">
        <f>7000*5</f>
        <v>35000</v>
      </c>
      <c r="I39" s="95">
        <v>0.042</v>
      </c>
      <c r="J39" s="92">
        <f t="shared" si="2"/>
        <v>1470</v>
      </c>
    </row>
    <row r="40" ht="16.5" spans="1:10">
      <c r="A40" s="88"/>
      <c r="B40" s="89"/>
      <c r="C40" s="89"/>
      <c r="D40" s="90"/>
      <c r="E40" s="89"/>
      <c r="F40" s="88"/>
      <c r="G40" s="92" t="s">
        <v>143</v>
      </c>
      <c r="H40" s="95">
        <v>1800</v>
      </c>
      <c r="I40" s="95">
        <v>0.55</v>
      </c>
      <c r="J40" s="92">
        <f t="shared" si="2"/>
        <v>990</v>
      </c>
    </row>
    <row r="41" ht="16.5" spans="1:10">
      <c r="A41" s="88"/>
      <c r="B41" s="89"/>
      <c r="C41" s="89"/>
      <c r="D41" s="90"/>
      <c r="E41" s="89"/>
      <c r="F41" s="88"/>
      <c r="G41" s="96" t="s">
        <v>111</v>
      </c>
      <c r="H41" s="93">
        <v>300</v>
      </c>
      <c r="I41" s="93">
        <v>0.63</v>
      </c>
      <c r="J41" s="92">
        <f t="shared" si="2"/>
        <v>189</v>
      </c>
    </row>
    <row r="42" ht="16.5" spans="1:10">
      <c r="A42" s="88"/>
      <c r="B42" s="89"/>
      <c r="C42" s="89"/>
      <c r="D42" s="90"/>
      <c r="E42" s="89"/>
      <c r="F42" s="88"/>
      <c r="G42" s="95" t="s">
        <v>144</v>
      </c>
      <c r="H42" s="95">
        <v>7000</v>
      </c>
      <c r="I42" s="95">
        <v>0.098</v>
      </c>
      <c r="J42" s="92">
        <f t="shared" si="2"/>
        <v>686</v>
      </c>
    </row>
    <row r="43" ht="16.5" spans="1:10">
      <c r="A43" s="27">
        <v>45856</v>
      </c>
      <c r="B43" s="27" t="s">
        <v>117</v>
      </c>
      <c r="C43" s="98" t="s">
        <v>152</v>
      </c>
      <c r="D43" s="99" t="s">
        <v>153</v>
      </c>
      <c r="E43" s="27" t="s">
        <v>154</v>
      </c>
      <c r="F43" s="100"/>
      <c r="G43" s="101" t="s">
        <v>103</v>
      </c>
      <c r="H43" s="101">
        <v>1900</v>
      </c>
      <c r="I43" s="107">
        <v>0.85</v>
      </c>
      <c r="J43" s="101">
        <f t="shared" si="0"/>
        <v>1615</v>
      </c>
    </row>
    <row r="44" ht="16.5" spans="1:10">
      <c r="A44" s="27"/>
      <c r="B44" s="27"/>
      <c r="C44" s="102"/>
      <c r="D44" s="99"/>
      <c r="E44" s="27"/>
      <c r="F44" s="100"/>
      <c r="G44" s="101" t="s">
        <v>104</v>
      </c>
      <c r="H44" s="101">
        <f>1900*0.01</f>
        <v>19</v>
      </c>
      <c r="I44" s="107">
        <v>0</v>
      </c>
      <c r="J44" s="101">
        <f t="shared" si="0"/>
        <v>0</v>
      </c>
    </row>
    <row r="45" ht="16.5" spans="1:10">
      <c r="A45" s="27"/>
      <c r="B45" s="27"/>
      <c r="C45" s="102"/>
      <c r="D45" s="99"/>
      <c r="E45" s="27"/>
      <c r="F45" s="100"/>
      <c r="G45" s="101" t="s">
        <v>105</v>
      </c>
      <c r="H45" s="101">
        <f>5*5+5</f>
        <v>30</v>
      </c>
      <c r="I45" s="107">
        <v>0</v>
      </c>
      <c r="J45" s="101">
        <f t="shared" si="0"/>
        <v>0</v>
      </c>
    </row>
    <row r="46" ht="16.5" spans="1:10">
      <c r="A46" s="27"/>
      <c r="B46" s="27"/>
      <c r="C46" s="102"/>
      <c r="D46" s="99"/>
      <c r="E46" s="27"/>
      <c r="F46" s="100" t="s">
        <v>155</v>
      </c>
      <c r="G46" s="36" t="s">
        <v>106</v>
      </c>
      <c r="H46" s="36">
        <f>3900*4</f>
        <v>15600</v>
      </c>
      <c r="I46" s="36">
        <v>0.042</v>
      </c>
      <c r="J46" s="42">
        <f t="shared" si="0"/>
        <v>655.2</v>
      </c>
    </row>
    <row r="47" ht="16.5" spans="1:10">
      <c r="A47" s="27"/>
      <c r="B47" s="27"/>
      <c r="C47" s="102"/>
      <c r="D47" s="99"/>
      <c r="E47" s="27"/>
      <c r="F47" s="103"/>
      <c r="G47" s="36" t="s">
        <v>156</v>
      </c>
      <c r="H47" s="36">
        <v>3900</v>
      </c>
      <c r="I47" s="65">
        <v>0.027</v>
      </c>
      <c r="J47" s="42">
        <f t="shared" si="0"/>
        <v>105.3</v>
      </c>
    </row>
    <row r="48" ht="16.5" spans="1:10">
      <c r="A48" s="27"/>
      <c r="B48" s="27"/>
      <c r="C48" s="102"/>
      <c r="D48" s="99"/>
      <c r="E48" s="27"/>
      <c r="F48" s="100" t="s">
        <v>157</v>
      </c>
      <c r="G48" s="28" t="s">
        <v>158</v>
      </c>
      <c r="H48" s="36">
        <f>1900</f>
        <v>1900</v>
      </c>
      <c r="I48" s="71">
        <v>0.312</v>
      </c>
      <c r="J48" s="42">
        <f t="shared" si="0"/>
        <v>592.8</v>
      </c>
    </row>
    <row r="49" ht="16.5" spans="1:10">
      <c r="A49" s="27"/>
      <c r="B49" s="27"/>
      <c r="C49" s="102"/>
      <c r="D49" s="99"/>
      <c r="E49" s="27"/>
      <c r="F49" s="100" t="s">
        <v>159</v>
      </c>
      <c r="G49" s="28" t="s">
        <v>158</v>
      </c>
      <c r="H49" s="36">
        <f>2000</f>
        <v>2000</v>
      </c>
      <c r="I49" s="71">
        <v>0.312</v>
      </c>
      <c r="J49" s="42">
        <f t="shared" si="0"/>
        <v>624</v>
      </c>
    </row>
    <row r="50" ht="16.5" spans="1:10">
      <c r="A50" s="27"/>
      <c r="B50" s="27"/>
      <c r="C50" s="102"/>
      <c r="D50" s="99"/>
      <c r="E50" s="27"/>
      <c r="F50" s="100" t="s">
        <v>157</v>
      </c>
      <c r="G50" s="104" t="s">
        <v>160</v>
      </c>
      <c r="H50" s="36">
        <f t="shared" ref="H50:H52" si="3">1900+2000</f>
        <v>3900</v>
      </c>
      <c r="I50" s="36">
        <v>0.32</v>
      </c>
      <c r="J50" s="42">
        <f t="shared" si="0"/>
        <v>1248</v>
      </c>
    </row>
    <row r="51" ht="16.5" spans="1:10">
      <c r="A51" s="27"/>
      <c r="B51" s="27"/>
      <c r="C51" s="102"/>
      <c r="D51" s="99"/>
      <c r="E51" s="27"/>
      <c r="F51" s="105"/>
      <c r="G51" s="42" t="s">
        <v>161</v>
      </c>
      <c r="H51" s="36">
        <f t="shared" si="3"/>
        <v>3900</v>
      </c>
      <c r="I51" s="42">
        <v>0.11</v>
      </c>
      <c r="J51" s="42">
        <f t="shared" si="0"/>
        <v>429</v>
      </c>
    </row>
    <row r="52" ht="16.5" spans="1:10">
      <c r="A52" s="27"/>
      <c r="B52" s="27"/>
      <c r="C52" s="102"/>
      <c r="D52" s="99"/>
      <c r="E52" s="27"/>
      <c r="F52" s="105" t="s">
        <v>162</v>
      </c>
      <c r="G52" s="106" t="s">
        <v>163</v>
      </c>
      <c r="H52" s="36">
        <f t="shared" si="3"/>
        <v>3900</v>
      </c>
      <c r="I52" s="42">
        <v>0.13</v>
      </c>
      <c r="J52" s="42">
        <f t="shared" si="0"/>
        <v>507</v>
      </c>
    </row>
    <row r="53" ht="16.5" spans="1:10">
      <c r="A53" s="27">
        <v>45869</v>
      </c>
      <c r="B53" s="27" t="s">
        <v>117</v>
      </c>
      <c r="C53" s="98" t="s">
        <v>164</v>
      </c>
      <c r="D53" s="99" t="s">
        <v>165</v>
      </c>
      <c r="E53" s="27" t="s">
        <v>166</v>
      </c>
      <c r="F53" s="27" t="s">
        <v>167</v>
      </c>
      <c r="G53" s="36" t="s">
        <v>106</v>
      </c>
      <c r="H53" s="36">
        <f>13026*4</f>
        <v>52104</v>
      </c>
      <c r="I53" s="79">
        <v>0.042</v>
      </c>
      <c r="J53" s="42">
        <f t="shared" si="0"/>
        <v>2188.368</v>
      </c>
    </row>
    <row r="54" ht="16.5" spans="1:10">
      <c r="A54" s="27"/>
      <c r="B54" s="27"/>
      <c r="C54" s="102"/>
      <c r="D54" s="99"/>
      <c r="E54" s="27"/>
      <c r="F54" s="27"/>
      <c r="G54" s="36" t="s">
        <v>156</v>
      </c>
      <c r="H54" s="36">
        <f>5500+13</f>
        <v>5513</v>
      </c>
      <c r="I54" s="108">
        <v>0.027</v>
      </c>
      <c r="J54" s="42">
        <f t="shared" si="0"/>
        <v>148.851</v>
      </c>
    </row>
    <row r="55" ht="16.5" spans="1:10">
      <c r="A55" s="27"/>
      <c r="B55" s="27"/>
      <c r="C55" s="102"/>
      <c r="D55" s="99"/>
      <c r="E55" s="27"/>
      <c r="F55" s="27" t="s">
        <v>168</v>
      </c>
      <c r="G55" s="28" t="s">
        <v>72</v>
      </c>
      <c r="H55" s="36">
        <f>13000+26</f>
        <v>13026</v>
      </c>
      <c r="I55" s="79">
        <v>0.24</v>
      </c>
      <c r="J55" s="42">
        <f t="shared" si="0"/>
        <v>3126.24</v>
      </c>
    </row>
    <row r="56" ht="16.5" spans="1:10">
      <c r="A56" s="27"/>
      <c r="B56" s="27"/>
      <c r="C56" s="102"/>
      <c r="D56" s="99"/>
      <c r="E56" s="27"/>
      <c r="F56" s="27"/>
      <c r="G56" s="28" t="s">
        <v>161</v>
      </c>
      <c r="H56" s="36">
        <v>13026</v>
      </c>
      <c r="I56" s="79">
        <v>0.11</v>
      </c>
      <c r="J56" s="42">
        <f t="shared" si="0"/>
        <v>1432.86</v>
      </c>
    </row>
    <row r="57" ht="16.5" spans="1:10">
      <c r="A57" s="27"/>
      <c r="B57" s="27"/>
      <c r="C57" s="102"/>
      <c r="D57" s="99"/>
      <c r="E57" s="27"/>
      <c r="F57" s="27" t="s">
        <v>167</v>
      </c>
      <c r="G57" s="28" t="s">
        <v>143</v>
      </c>
      <c r="H57" s="36">
        <v>2000</v>
      </c>
      <c r="I57" s="36">
        <v>0.55</v>
      </c>
      <c r="J57" s="42">
        <f t="shared" si="0"/>
        <v>1100</v>
      </c>
    </row>
    <row r="58" ht="16.5" spans="1:10">
      <c r="A58" s="27"/>
      <c r="B58" s="27"/>
      <c r="C58" s="102"/>
      <c r="D58" s="99"/>
      <c r="E58" s="27"/>
      <c r="F58" s="27"/>
      <c r="G58" s="28" t="s">
        <v>111</v>
      </c>
      <c r="H58" s="36">
        <v>1450</v>
      </c>
      <c r="I58" s="65">
        <v>0.63</v>
      </c>
      <c r="J58" s="42">
        <f t="shared" si="0"/>
        <v>913.5</v>
      </c>
    </row>
    <row r="59" ht="16.5" spans="1:10">
      <c r="A59" s="27">
        <v>45888</v>
      </c>
      <c r="B59" s="27" t="s">
        <v>117</v>
      </c>
      <c r="C59" s="98" t="s">
        <v>169</v>
      </c>
      <c r="D59" s="99" t="s">
        <v>170</v>
      </c>
      <c r="E59" s="27" t="s">
        <v>171</v>
      </c>
      <c r="F59" s="27" t="s">
        <v>172</v>
      </c>
      <c r="G59" s="36" t="s">
        <v>106</v>
      </c>
      <c r="H59" s="36">
        <f>150*4</f>
        <v>600</v>
      </c>
      <c r="I59" s="36">
        <v>0.042</v>
      </c>
      <c r="J59" s="42">
        <f t="shared" si="0"/>
        <v>25.2</v>
      </c>
    </row>
    <row r="60" ht="16.5" spans="1:10">
      <c r="A60" s="27"/>
      <c r="B60" s="27"/>
      <c r="C60" s="102"/>
      <c r="D60" s="99"/>
      <c r="E60" s="27"/>
      <c r="F60" s="27"/>
      <c r="G60" s="36" t="s">
        <v>156</v>
      </c>
      <c r="H60" s="36">
        <v>150</v>
      </c>
      <c r="I60" s="65">
        <v>0.027</v>
      </c>
      <c r="J60" s="42">
        <f t="shared" si="0"/>
        <v>4.05</v>
      </c>
    </row>
    <row r="61" ht="16.5" spans="1:10">
      <c r="A61" s="27"/>
      <c r="B61" s="27"/>
      <c r="C61" s="102"/>
      <c r="D61" s="99"/>
      <c r="E61" s="27"/>
      <c r="F61" s="27"/>
      <c r="G61" s="106" t="s">
        <v>163</v>
      </c>
      <c r="H61" s="36">
        <v>150</v>
      </c>
      <c r="I61" s="42">
        <v>0.13</v>
      </c>
      <c r="J61" s="42">
        <f t="shared" si="0"/>
        <v>19.5</v>
      </c>
    </row>
    <row r="62" ht="16.5" spans="3:10">
      <c r="C62"/>
      <c r="F62"/>
      <c r="J62" s="109">
        <f>SUM(J3:J61)</f>
        <v>158899.259</v>
      </c>
    </row>
    <row r="63" ht="16.5" spans="3:10">
      <c r="C63"/>
      <c r="F63"/>
      <c r="I63" s="110" t="s">
        <v>173</v>
      </c>
      <c r="J63" s="81">
        <f>114267.85-111627.85</f>
        <v>2640</v>
      </c>
    </row>
    <row r="64" ht="16.5" spans="3:10">
      <c r="C64"/>
      <c r="F64"/>
      <c r="I64" s="110" t="s">
        <v>174</v>
      </c>
      <c r="J64" s="81">
        <f>71875.34-69598.66</f>
        <v>2276.67999999999</v>
      </c>
    </row>
    <row r="65" ht="16.5" spans="3:10">
      <c r="C65"/>
      <c r="F65"/>
      <c r="I65" s="110" t="s">
        <v>175</v>
      </c>
      <c r="J65" s="109">
        <f>29918.594-33735.63</f>
        <v>-3817.036</v>
      </c>
    </row>
    <row r="66" ht="16.5" spans="3:10">
      <c r="C66"/>
      <c r="F66"/>
      <c r="I66" s="110" t="s">
        <v>176</v>
      </c>
      <c r="J66" s="109">
        <v>899.800000000003</v>
      </c>
    </row>
    <row r="67" ht="16.5" spans="3:10">
      <c r="C67"/>
      <c r="F67"/>
      <c r="I67" s="110" t="s">
        <v>177</v>
      </c>
      <c r="J67" s="109">
        <f>J62+J63+J64+J65+J66</f>
        <v>160898.703</v>
      </c>
    </row>
    <row r="68" spans="3:6">
      <c r="C68"/>
      <c r="F68"/>
    </row>
    <row r="69" ht="16.5" spans="3:10">
      <c r="C69"/>
      <c r="F69"/>
      <c r="I69" s="110" t="s">
        <v>178</v>
      </c>
      <c r="J69" s="81">
        <f>116739.4-115139.4</f>
        <v>1600</v>
      </c>
    </row>
    <row r="70" spans="3:6">
      <c r="C70"/>
      <c r="F70"/>
    </row>
    <row r="81" ht="28.5" spans="1:10">
      <c r="A81" s="48" t="s">
        <v>179</v>
      </c>
      <c r="B81" s="48"/>
      <c r="C81" s="48"/>
      <c r="D81" s="48"/>
      <c r="E81" s="48"/>
      <c r="F81" s="48"/>
      <c r="G81" s="48"/>
      <c r="H81" s="48"/>
      <c r="I81" s="48"/>
      <c r="J81" s="48"/>
    </row>
    <row r="82" ht="14.5" spans="1:10">
      <c r="A82" s="49" t="s">
        <v>180</v>
      </c>
      <c r="B82" s="49" t="s">
        <v>181</v>
      </c>
      <c r="C82" s="49" t="s">
        <v>182</v>
      </c>
      <c r="D82" s="49" t="s">
        <v>183</v>
      </c>
      <c r="E82" s="49" t="s">
        <v>184</v>
      </c>
      <c r="F82" s="50" t="s">
        <v>185</v>
      </c>
      <c r="G82" s="49" t="s">
        <v>186</v>
      </c>
      <c r="H82" s="49" t="s">
        <v>187</v>
      </c>
      <c r="I82" s="49" t="s">
        <v>188</v>
      </c>
      <c r="J82" s="49" t="s">
        <v>189</v>
      </c>
    </row>
    <row r="83" ht="28.5" spans="1:16">
      <c r="A83" s="49"/>
      <c r="B83" s="49"/>
      <c r="C83" s="49"/>
      <c r="D83" s="49" t="s">
        <v>190</v>
      </c>
      <c r="E83" s="49"/>
      <c r="F83" s="50" t="s">
        <v>191</v>
      </c>
      <c r="G83" s="49"/>
      <c r="H83" s="49"/>
      <c r="I83" s="51" t="s">
        <v>192</v>
      </c>
      <c r="J83" s="49"/>
      <c r="P83" t="s">
        <v>196</v>
      </c>
    </row>
    <row r="84" s="1" customFormat="1" ht="28" spans="1:16">
      <c r="A84" s="111">
        <v>4</v>
      </c>
      <c r="B84" s="112">
        <v>45898</v>
      </c>
      <c r="C84" s="113" t="s">
        <v>193</v>
      </c>
      <c r="D84" s="113" t="s">
        <v>194</v>
      </c>
      <c r="E84" s="113" t="s">
        <v>195</v>
      </c>
      <c r="F84" s="113" t="s">
        <v>195</v>
      </c>
      <c r="G84" s="114" t="s">
        <v>195</v>
      </c>
      <c r="H84" s="115" t="s">
        <v>195</v>
      </c>
      <c r="I84" s="116">
        <v>29024.99</v>
      </c>
      <c r="J84" s="115"/>
      <c r="P84" s="1">
        <f>8572.71+1346.81+3125.07+830+1393.9+7971.5+1176+2730+700+1179</f>
        <v>29024.99</v>
      </c>
    </row>
  </sheetData>
  <autoFilter xmlns:etc="http://www.wps.cn/officeDocument/2017/etCustomData" ref="A1:J67" etc:filterBottomFollowUsedRange="0">
    <extLst/>
  </autoFilter>
  <mergeCells count="59">
    <mergeCell ref="A1:J1"/>
    <mergeCell ref="A81:J81"/>
    <mergeCell ref="A3:A23"/>
    <mergeCell ref="A24:A32"/>
    <mergeCell ref="A33:A34"/>
    <mergeCell ref="A35:A42"/>
    <mergeCell ref="A43:A52"/>
    <mergeCell ref="A53:A58"/>
    <mergeCell ref="A59:A61"/>
    <mergeCell ref="A82:A83"/>
    <mergeCell ref="B3:B23"/>
    <mergeCell ref="B24:B32"/>
    <mergeCell ref="B33:B34"/>
    <mergeCell ref="B35:B42"/>
    <mergeCell ref="B43:B52"/>
    <mergeCell ref="B53:B58"/>
    <mergeCell ref="B59:B61"/>
    <mergeCell ref="B82:B83"/>
    <mergeCell ref="C3:C23"/>
    <mergeCell ref="C24:C32"/>
    <mergeCell ref="C33:C34"/>
    <mergeCell ref="C35:C42"/>
    <mergeCell ref="C43:C52"/>
    <mergeCell ref="C53:C58"/>
    <mergeCell ref="C59:C61"/>
    <mergeCell ref="C82:C83"/>
    <mergeCell ref="D3:D23"/>
    <mergeCell ref="D24:D32"/>
    <mergeCell ref="D33:D34"/>
    <mergeCell ref="D35:D42"/>
    <mergeCell ref="D43:D52"/>
    <mergeCell ref="D53:D58"/>
    <mergeCell ref="D59:D61"/>
    <mergeCell ref="E3:E23"/>
    <mergeCell ref="E24:E32"/>
    <mergeCell ref="E33:E34"/>
    <mergeCell ref="E35:E42"/>
    <mergeCell ref="E43:E52"/>
    <mergeCell ref="E53:E58"/>
    <mergeCell ref="E59:E61"/>
    <mergeCell ref="E82:E83"/>
    <mergeCell ref="F3:F4"/>
    <mergeCell ref="F5:F6"/>
    <mergeCell ref="F10:F12"/>
    <mergeCell ref="F21:F22"/>
    <mergeCell ref="F24:F32"/>
    <mergeCell ref="F33:F34"/>
    <mergeCell ref="F35:F36"/>
    <mergeCell ref="F37:F38"/>
    <mergeCell ref="F39:F42"/>
    <mergeCell ref="F46:F47"/>
    <mergeCell ref="F50:F51"/>
    <mergeCell ref="F53:F54"/>
    <mergeCell ref="F55:F56"/>
    <mergeCell ref="F57:F58"/>
    <mergeCell ref="F59:F61"/>
    <mergeCell ref="G82:G83"/>
    <mergeCell ref="H82:H83"/>
    <mergeCell ref="J82:J8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J7" sqref="J7:J25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17.1818181818182" style="24" customWidth="1"/>
    <col min="4" max="4" width="22.4545454545455" customWidth="1"/>
    <col min="5" max="5" width="33.6363636363636" customWidth="1"/>
    <col min="6" max="6" width="17.3636363636364" style="25" customWidth="1"/>
    <col min="7" max="7" width="63.6363636363636" customWidth="1"/>
    <col min="8" max="8" width="9.45454545454546" customWidth="1"/>
    <col min="9" max="9" width="12.3636363636364" customWidth="1"/>
    <col min="10" max="10" width="13.5454545454545" customWidth="1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112</v>
      </c>
    </row>
    <row r="3" ht="16.5" spans="1:10">
      <c r="A3" s="27" t="s">
        <v>197</v>
      </c>
      <c r="B3" s="28" t="s">
        <v>117</v>
      </c>
      <c r="C3" s="28" t="s">
        <v>198</v>
      </c>
      <c r="D3" s="70" t="s">
        <v>199</v>
      </c>
      <c r="E3" s="28" t="s">
        <v>200</v>
      </c>
      <c r="F3" s="27" t="s">
        <v>201</v>
      </c>
      <c r="G3" s="42" t="s">
        <v>72</v>
      </c>
      <c r="H3" s="77">
        <f>1010+2450+3224+2117+1000</f>
        <v>9801</v>
      </c>
      <c r="I3" s="36">
        <v>0.039</v>
      </c>
      <c r="J3" s="80">
        <f>H3*I3</f>
        <v>382.239</v>
      </c>
    </row>
    <row r="4" ht="16.5" spans="1:10">
      <c r="A4" s="27"/>
      <c r="B4" s="28"/>
      <c r="C4" s="28"/>
      <c r="D4" s="70"/>
      <c r="E4" s="28"/>
      <c r="F4" s="27"/>
      <c r="G4" s="42" t="s">
        <v>202</v>
      </c>
      <c r="H4" s="77">
        <v>98</v>
      </c>
      <c r="I4" s="36">
        <v>0</v>
      </c>
      <c r="J4" s="65">
        <f>H4*I4</f>
        <v>0</v>
      </c>
    </row>
    <row r="5" ht="16.5" spans="1:10">
      <c r="A5" s="27"/>
      <c r="B5" s="28"/>
      <c r="C5" s="28"/>
      <c r="D5" s="70"/>
      <c r="E5" s="28"/>
      <c r="F5" s="27" t="s">
        <v>203</v>
      </c>
      <c r="G5" s="42" t="s">
        <v>72</v>
      </c>
      <c r="H5" s="77">
        <f>81+198+260+170+80</f>
        <v>789</v>
      </c>
      <c r="I5" s="36">
        <v>0.039</v>
      </c>
      <c r="J5" s="80">
        <f>H5*I5</f>
        <v>30.771</v>
      </c>
    </row>
    <row r="6" ht="16.5" spans="1:10">
      <c r="A6" s="27"/>
      <c r="B6" s="28"/>
      <c r="C6" s="28"/>
      <c r="D6" s="70"/>
      <c r="E6" s="28"/>
      <c r="F6" s="27"/>
      <c r="G6" s="42" t="s">
        <v>202</v>
      </c>
      <c r="H6" s="77">
        <v>8</v>
      </c>
      <c r="I6" s="36">
        <v>0</v>
      </c>
      <c r="J6" s="65">
        <f>H6*I6</f>
        <v>0</v>
      </c>
    </row>
    <row r="7" ht="16.5" spans="1:10">
      <c r="A7" s="27" t="s">
        <v>204</v>
      </c>
      <c r="B7" s="28" t="s">
        <v>117</v>
      </c>
      <c r="C7" s="66" t="s">
        <v>205</v>
      </c>
      <c r="D7" s="70" t="s">
        <v>119</v>
      </c>
      <c r="E7" s="28" t="s">
        <v>206</v>
      </c>
      <c r="F7" s="27" t="s">
        <v>207</v>
      </c>
      <c r="G7" s="42" t="s">
        <v>72</v>
      </c>
      <c r="H7" s="79">
        <v>6500</v>
      </c>
      <c r="I7" s="79">
        <v>0.039</v>
      </c>
      <c r="J7" s="65">
        <f t="shared" ref="J7:J26" si="0">H7*I7</f>
        <v>253.5</v>
      </c>
    </row>
    <row r="8" ht="16.5" spans="1:10">
      <c r="A8" s="27"/>
      <c r="B8" s="28"/>
      <c r="C8" s="66"/>
      <c r="D8" s="70"/>
      <c r="E8" s="28"/>
      <c r="F8" s="27" t="s">
        <v>208</v>
      </c>
      <c r="G8" s="42" t="s">
        <v>72</v>
      </c>
      <c r="H8" s="79">
        <v>6500</v>
      </c>
      <c r="I8" s="79">
        <v>0.039</v>
      </c>
      <c r="J8" s="65">
        <f t="shared" si="0"/>
        <v>253.5</v>
      </c>
    </row>
    <row r="9" ht="16.5" spans="1:10">
      <c r="A9" s="27"/>
      <c r="B9" s="28"/>
      <c r="C9" s="66"/>
      <c r="D9" s="70"/>
      <c r="E9" s="28"/>
      <c r="F9" s="27" t="s">
        <v>209</v>
      </c>
      <c r="G9" s="42" t="s">
        <v>72</v>
      </c>
      <c r="H9" s="79">
        <v>6500</v>
      </c>
      <c r="I9" s="79">
        <v>0.039</v>
      </c>
      <c r="J9" s="65">
        <f t="shared" si="0"/>
        <v>253.5</v>
      </c>
    </row>
    <row r="10" ht="16.5" spans="1:10">
      <c r="A10" s="27"/>
      <c r="B10" s="28"/>
      <c r="C10" s="66"/>
      <c r="D10" s="70"/>
      <c r="E10" s="28"/>
      <c r="F10" s="27" t="s">
        <v>210</v>
      </c>
      <c r="G10" s="42" t="s">
        <v>72</v>
      </c>
      <c r="H10" s="79">
        <v>6000</v>
      </c>
      <c r="I10" s="79">
        <v>0.039</v>
      </c>
      <c r="J10" s="65">
        <f t="shared" si="0"/>
        <v>234</v>
      </c>
    </row>
    <row r="11" ht="16.5" spans="1:10">
      <c r="A11" s="27"/>
      <c r="B11" s="28"/>
      <c r="C11" s="66"/>
      <c r="D11" s="70"/>
      <c r="E11" s="28"/>
      <c r="F11" s="27" t="s">
        <v>211</v>
      </c>
      <c r="G11" s="42" t="s">
        <v>72</v>
      </c>
      <c r="H11" s="79">
        <v>6000</v>
      </c>
      <c r="I11" s="79">
        <v>0.039</v>
      </c>
      <c r="J11" s="65">
        <f t="shared" si="0"/>
        <v>234</v>
      </c>
    </row>
    <row r="12" ht="16.5" spans="1:10">
      <c r="A12" s="27"/>
      <c r="B12" s="28"/>
      <c r="C12" s="66"/>
      <c r="D12" s="70"/>
      <c r="E12" s="28"/>
      <c r="F12" s="27" t="s">
        <v>212</v>
      </c>
      <c r="G12" s="42" t="s">
        <v>72</v>
      </c>
      <c r="H12" s="79">
        <v>4500</v>
      </c>
      <c r="I12" s="79">
        <v>0.039</v>
      </c>
      <c r="J12" s="65">
        <f t="shared" si="0"/>
        <v>175.5</v>
      </c>
    </row>
    <row r="13" ht="16.5" spans="1:10">
      <c r="A13" s="27"/>
      <c r="B13" s="28"/>
      <c r="C13" s="66"/>
      <c r="D13" s="70"/>
      <c r="E13" s="28"/>
      <c r="F13" s="27" t="s">
        <v>207</v>
      </c>
      <c r="G13" s="42" t="s">
        <v>213</v>
      </c>
      <c r="H13" s="79">
        <v>3500</v>
      </c>
      <c r="I13" s="79">
        <v>0.035</v>
      </c>
      <c r="J13" s="65">
        <f t="shared" si="0"/>
        <v>122.5</v>
      </c>
    </row>
    <row r="14" ht="16.5" spans="1:10">
      <c r="A14" s="27"/>
      <c r="B14" s="28"/>
      <c r="C14" s="66"/>
      <c r="D14" s="70"/>
      <c r="E14" s="28"/>
      <c r="F14" s="27" t="s">
        <v>208</v>
      </c>
      <c r="G14" s="42" t="s">
        <v>213</v>
      </c>
      <c r="H14" s="79">
        <v>2500</v>
      </c>
      <c r="I14" s="79">
        <v>0.035</v>
      </c>
      <c r="J14" s="65">
        <f t="shared" si="0"/>
        <v>87.5</v>
      </c>
    </row>
    <row r="15" ht="16.5" spans="1:10">
      <c r="A15" s="27"/>
      <c r="B15" s="28"/>
      <c r="C15" s="66"/>
      <c r="D15" s="70"/>
      <c r="E15" s="28"/>
      <c r="F15" s="27" t="s">
        <v>209</v>
      </c>
      <c r="G15" s="42" t="s">
        <v>213</v>
      </c>
      <c r="H15" s="79">
        <v>3000</v>
      </c>
      <c r="I15" s="79">
        <v>0.035</v>
      </c>
      <c r="J15" s="65">
        <f t="shared" si="0"/>
        <v>105</v>
      </c>
    </row>
    <row r="16" ht="16.5" spans="1:10">
      <c r="A16" s="27"/>
      <c r="B16" s="28"/>
      <c r="C16" s="66"/>
      <c r="D16" s="70"/>
      <c r="E16" s="28"/>
      <c r="F16" s="27" t="s">
        <v>211</v>
      </c>
      <c r="G16" s="42" t="s">
        <v>213</v>
      </c>
      <c r="H16" s="79">
        <v>2500</v>
      </c>
      <c r="I16" s="79">
        <v>0.035</v>
      </c>
      <c r="J16" s="65">
        <f t="shared" si="0"/>
        <v>87.5</v>
      </c>
    </row>
    <row r="17" ht="16.5" spans="1:10">
      <c r="A17" s="27"/>
      <c r="B17" s="28"/>
      <c r="C17" s="66"/>
      <c r="D17" s="70"/>
      <c r="E17" s="28"/>
      <c r="F17" s="27" t="s">
        <v>211</v>
      </c>
      <c r="G17" s="42" t="s">
        <v>213</v>
      </c>
      <c r="H17" s="79">
        <v>2500</v>
      </c>
      <c r="I17" s="79">
        <v>0.035</v>
      </c>
      <c r="J17" s="65">
        <f t="shared" si="0"/>
        <v>87.5</v>
      </c>
    </row>
    <row r="18" ht="16.5" spans="1:10">
      <c r="A18" s="27"/>
      <c r="B18" s="28"/>
      <c r="C18" s="66"/>
      <c r="D18" s="70"/>
      <c r="E18" s="28"/>
      <c r="F18" s="27" t="s">
        <v>212</v>
      </c>
      <c r="G18" s="42" t="s">
        <v>213</v>
      </c>
      <c r="H18" s="79">
        <v>2000</v>
      </c>
      <c r="I18" s="79">
        <v>0.035</v>
      </c>
      <c r="J18" s="65">
        <f t="shared" si="0"/>
        <v>70</v>
      </c>
    </row>
    <row r="19" ht="16.5" spans="1:10">
      <c r="A19" s="27"/>
      <c r="B19" s="28"/>
      <c r="C19" s="66"/>
      <c r="D19" s="70"/>
      <c r="E19" s="28"/>
      <c r="F19" s="27" t="s">
        <v>214</v>
      </c>
      <c r="G19" s="36" t="s">
        <v>134</v>
      </c>
      <c r="H19" s="79">
        <f t="shared" ref="H19:H22" si="1">2500*4</f>
        <v>10000</v>
      </c>
      <c r="I19" s="79">
        <v>0.007</v>
      </c>
      <c r="J19" s="65">
        <f t="shared" si="0"/>
        <v>70</v>
      </c>
    </row>
    <row r="20" ht="16.5" spans="1:10">
      <c r="A20" s="27"/>
      <c r="B20" s="28"/>
      <c r="C20" s="66"/>
      <c r="D20" s="70"/>
      <c r="E20" s="28"/>
      <c r="F20" s="27" t="s">
        <v>157</v>
      </c>
      <c r="G20" s="36" t="s">
        <v>134</v>
      </c>
      <c r="H20" s="79">
        <f>3000*4</f>
        <v>12000</v>
      </c>
      <c r="I20" s="79">
        <v>0.007</v>
      </c>
      <c r="J20" s="65">
        <f t="shared" si="0"/>
        <v>84</v>
      </c>
    </row>
    <row r="21" ht="16.5" spans="1:10">
      <c r="A21" s="27"/>
      <c r="B21" s="28"/>
      <c r="C21" s="66"/>
      <c r="D21" s="70"/>
      <c r="E21" s="28"/>
      <c r="F21" s="27" t="s">
        <v>215</v>
      </c>
      <c r="G21" s="36" t="s">
        <v>134</v>
      </c>
      <c r="H21" s="79">
        <f t="shared" si="1"/>
        <v>10000</v>
      </c>
      <c r="I21" s="79">
        <v>0.007</v>
      </c>
      <c r="J21" s="65">
        <f t="shared" si="0"/>
        <v>70</v>
      </c>
    </row>
    <row r="22" ht="16.5" spans="1:10">
      <c r="A22" s="27"/>
      <c r="B22" s="28"/>
      <c r="C22" s="66"/>
      <c r="D22" s="70"/>
      <c r="E22" s="28"/>
      <c r="F22" s="27" t="s">
        <v>159</v>
      </c>
      <c r="G22" s="36" t="s">
        <v>134</v>
      </c>
      <c r="H22" s="79">
        <f t="shared" si="1"/>
        <v>10000</v>
      </c>
      <c r="I22" s="79">
        <v>0.007</v>
      </c>
      <c r="J22" s="65">
        <f t="shared" si="0"/>
        <v>70</v>
      </c>
    </row>
    <row r="23" ht="16.5" spans="1:10">
      <c r="A23" s="27"/>
      <c r="B23" s="28"/>
      <c r="C23" s="66"/>
      <c r="D23" s="70"/>
      <c r="E23" s="28"/>
      <c r="F23" s="27" t="s">
        <v>167</v>
      </c>
      <c r="G23" s="36" t="s">
        <v>134</v>
      </c>
      <c r="H23" s="79">
        <f>2000*4</f>
        <v>8000</v>
      </c>
      <c r="I23" s="79">
        <v>0.007</v>
      </c>
      <c r="J23" s="65">
        <f t="shared" si="0"/>
        <v>56</v>
      </c>
    </row>
    <row r="24" ht="16.5" spans="1:10">
      <c r="A24" s="27"/>
      <c r="B24" s="28"/>
      <c r="C24" s="66"/>
      <c r="D24" s="70"/>
      <c r="E24" s="28"/>
      <c r="F24" s="27" t="s">
        <v>216</v>
      </c>
      <c r="G24" s="36" t="s">
        <v>135</v>
      </c>
      <c r="H24" s="36">
        <v>30000</v>
      </c>
      <c r="I24" s="79">
        <v>0.02</v>
      </c>
      <c r="J24" s="65">
        <f t="shared" si="0"/>
        <v>600</v>
      </c>
    </row>
    <row r="25" ht="16.5" spans="1:10">
      <c r="A25" s="27">
        <v>45860</v>
      </c>
      <c r="B25" s="28" t="s">
        <v>117</v>
      </c>
      <c r="C25" s="62" t="s">
        <v>217</v>
      </c>
      <c r="D25" s="70" t="s">
        <v>218</v>
      </c>
      <c r="E25" s="28" t="s">
        <v>219</v>
      </c>
      <c r="F25" s="27" t="s">
        <v>208</v>
      </c>
      <c r="G25" s="42" t="s">
        <v>72</v>
      </c>
      <c r="H25" s="42">
        <v>500</v>
      </c>
      <c r="I25" s="42">
        <v>0.039</v>
      </c>
      <c r="J25" s="65">
        <f t="shared" si="0"/>
        <v>19.5</v>
      </c>
    </row>
    <row r="26" ht="16.5" spans="1:10">
      <c r="A26" s="27"/>
      <c r="B26" s="28"/>
      <c r="C26" s="28"/>
      <c r="D26" s="70"/>
      <c r="E26" s="28"/>
      <c r="F26" s="27"/>
      <c r="G26" s="42" t="s">
        <v>202</v>
      </c>
      <c r="H26" s="42">
        <f>500*0.01</f>
        <v>5</v>
      </c>
      <c r="I26" s="36">
        <v>0</v>
      </c>
      <c r="J26" s="36">
        <f t="shared" si="0"/>
        <v>0</v>
      </c>
    </row>
    <row r="27" ht="16.5" spans="10:10">
      <c r="J27" s="81">
        <f>SUM(J3:J26)</f>
        <v>3346.51</v>
      </c>
    </row>
  </sheetData>
  <autoFilter xmlns:etc="http://www.wps.cn/officeDocument/2017/etCustomData" ref="A1:J27" etc:filterBottomFollowUsedRange="0">
    <extLst/>
  </autoFilter>
  <mergeCells count="19">
    <mergeCell ref="A1:J1"/>
    <mergeCell ref="A3:A6"/>
    <mergeCell ref="A7:A24"/>
    <mergeCell ref="A25:A26"/>
    <mergeCell ref="B3:B6"/>
    <mergeCell ref="B7:B24"/>
    <mergeCell ref="B25:B26"/>
    <mergeCell ref="C3:C6"/>
    <mergeCell ref="C7:C24"/>
    <mergeCell ref="C25:C26"/>
    <mergeCell ref="D3:D6"/>
    <mergeCell ref="D7:D24"/>
    <mergeCell ref="D25:D26"/>
    <mergeCell ref="E3:E6"/>
    <mergeCell ref="E7:E24"/>
    <mergeCell ref="E25:E26"/>
    <mergeCell ref="F3:F4"/>
    <mergeCell ref="F5:F6"/>
    <mergeCell ref="F25:F2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47" t="s">
        <v>54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v>42000</v>
      </c>
      <c r="I4" s="75">
        <v>0.042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57">
        <v>45663</v>
      </c>
      <c r="B7" s="36" t="s">
        <v>39</v>
      </c>
      <c r="C7" s="28" t="s">
        <v>55</v>
      </c>
      <c r="D7" s="56" t="s">
        <v>56</v>
      </c>
      <c r="E7" s="27" t="s">
        <v>57</v>
      </c>
      <c r="F7" s="58" t="s">
        <v>58</v>
      </c>
      <c r="G7" s="31" t="s">
        <v>59</v>
      </c>
      <c r="H7" s="42">
        <v>8526</v>
      </c>
      <c r="I7" s="42">
        <v>0.35</v>
      </c>
      <c r="J7" s="42">
        <f t="shared" si="0"/>
        <v>2984.1</v>
      </c>
    </row>
    <row r="8" s="1" customFormat="1" ht="16.5" spans="1:10">
      <c r="A8" s="59"/>
      <c r="B8" s="36"/>
      <c r="C8" s="28"/>
      <c r="D8" s="56"/>
      <c r="E8" s="60"/>
      <c r="F8" s="58" t="s">
        <v>58</v>
      </c>
      <c r="G8" s="31" t="s">
        <v>60</v>
      </c>
      <c r="H8" s="42">
        <f>H7*5</f>
        <v>42630</v>
      </c>
      <c r="I8" s="42">
        <v>0.042</v>
      </c>
      <c r="J8" s="42">
        <f t="shared" si="0"/>
        <v>1790.46</v>
      </c>
    </row>
    <row r="9" s="1" customFormat="1" ht="16.5" spans="1:11">
      <c r="A9" s="59"/>
      <c r="B9" s="36"/>
      <c r="C9" s="28"/>
      <c r="D9" s="56"/>
      <c r="E9" s="60"/>
      <c r="F9" s="58" t="s">
        <v>58</v>
      </c>
      <c r="G9" s="31" t="s">
        <v>21</v>
      </c>
      <c r="H9" s="42">
        <v>8526</v>
      </c>
      <c r="I9" s="42">
        <v>0.28</v>
      </c>
      <c r="J9" s="42">
        <f t="shared" si="0"/>
        <v>2387.28</v>
      </c>
      <c r="K9" s="76"/>
    </row>
    <row r="10" s="1" customFormat="1" ht="16.5" spans="1:10">
      <c r="A10" s="61"/>
      <c r="B10" s="36"/>
      <c r="C10" s="28"/>
      <c r="D10" s="56"/>
      <c r="E10" s="60"/>
      <c r="F10" s="58"/>
      <c r="G10" s="31" t="s">
        <v>22</v>
      </c>
      <c r="H10" s="42">
        <v>8526</v>
      </c>
      <c r="I10" s="42">
        <v>0.11</v>
      </c>
      <c r="J10" s="42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61</v>
      </c>
      <c r="E11" s="35" t="s">
        <v>43</v>
      </c>
      <c r="F11" s="35" t="s">
        <v>62</v>
      </c>
      <c r="G11" s="31" t="s">
        <v>63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64</v>
      </c>
      <c r="D12" s="29" t="s">
        <v>65</v>
      </c>
      <c r="E12" s="28" t="s">
        <v>66</v>
      </c>
      <c r="F12" s="30" t="s">
        <v>67</v>
      </c>
      <c r="G12" s="31" t="s">
        <v>68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69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70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71</v>
      </c>
      <c r="G15" s="31" t="s">
        <v>72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71</v>
      </c>
      <c r="G16" s="31" t="s">
        <v>73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27">
        <v>45701</v>
      </c>
      <c r="B17" s="28" t="s">
        <v>39</v>
      </c>
      <c r="C17" s="62" t="s">
        <v>74</v>
      </c>
      <c r="D17" s="63" t="s">
        <v>75</v>
      </c>
      <c r="E17" s="62" t="s">
        <v>76</v>
      </c>
      <c r="F17" s="64" t="s">
        <v>77</v>
      </c>
      <c r="G17" s="42" t="s">
        <v>68</v>
      </c>
      <c r="H17" s="65">
        <f>6077+4223</f>
        <v>10300</v>
      </c>
      <c r="I17" s="65">
        <v>1.07</v>
      </c>
      <c r="J17" s="65">
        <f t="shared" si="0"/>
        <v>11021</v>
      </c>
      <c r="K17" s="40"/>
    </row>
    <row r="18" s="1" customFormat="1" ht="16.5" spans="1:11">
      <c r="A18" s="27"/>
      <c r="B18" s="28"/>
      <c r="C18" s="66"/>
      <c r="D18" s="63"/>
      <c r="E18" s="62"/>
      <c r="F18" s="67"/>
      <c r="G18" s="42" t="s">
        <v>69</v>
      </c>
      <c r="H18" s="65">
        <f>10000*0.01</f>
        <v>100</v>
      </c>
      <c r="I18" s="65">
        <v>0</v>
      </c>
      <c r="J18" s="65">
        <v>0</v>
      </c>
      <c r="K18" s="40"/>
    </row>
    <row r="19" s="1" customFormat="1" ht="16.5" spans="1:11">
      <c r="A19" s="27"/>
      <c r="B19" s="28"/>
      <c r="C19" s="66"/>
      <c r="D19" s="63"/>
      <c r="E19" s="62"/>
      <c r="F19" s="67"/>
      <c r="G19" s="42" t="s">
        <v>72</v>
      </c>
      <c r="H19" s="36">
        <f>2200+1000</f>
        <v>3200</v>
      </c>
      <c r="I19" s="36">
        <v>0.28</v>
      </c>
      <c r="J19" s="36">
        <f t="shared" ref="J19:J24" si="1">H19*I19</f>
        <v>896</v>
      </c>
      <c r="K19" s="40"/>
    </row>
    <row r="20" s="1" customFormat="1" ht="16.5" spans="1:11">
      <c r="A20" s="27"/>
      <c r="B20" s="28"/>
      <c r="C20" s="66"/>
      <c r="D20" s="63"/>
      <c r="E20" s="62"/>
      <c r="F20" s="67"/>
      <c r="G20" s="36" t="s">
        <v>22</v>
      </c>
      <c r="H20" s="36">
        <v>10000</v>
      </c>
      <c r="I20" s="36">
        <v>0.11</v>
      </c>
      <c r="J20" s="36">
        <f t="shared" si="1"/>
        <v>1100</v>
      </c>
      <c r="K20" s="40"/>
    </row>
    <row r="21" s="1" customFormat="1" ht="16.5" spans="1:11">
      <c r="A21" s="27"/>
      <c r="B21" s="28"/>
      <c r="C21" s="66"/>
      <c r="D21" s="63"/>
      <c r="E21" s="62"/>
      <c r="F21" s="68"/>
      <c r="G21" s="36" t="s">
        <v>60</v>
      </c>
      <c r="H21" s="36">
        <f>3200*5</f>
        <v>16000</v>
      </c>
      <c r="I21" s="36">
        <v>0.042</v>
      </c>
      <c r="J21" s="36">
        <f t="shared" si="1"/>
        <v>672</v>
      </c>
      <c r="K21" s="40"/>
    </row>
    <row r="22" s="1" customFormat="1" ht="16.5" spans="1:11">
      <c r="A22" s="27"/>
      <c r="B22" s="28"/>
      <c r="C22" s="66"/>
      <c r="D22" s="63"/>
      <c r="E22" s="62"/>
      <c r="F22" s="69" t="s">
        <v>78</v>
      </c>
      <c r="G22" s="42" t="s">
        <v>79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80</v>
      </c>
      <c r="D23" s="70" t="s">
        <v>81</v>
      </c>
      <c r="E23" s="28" t="s">
        <v>82</v>
      </c>
      <c r="F23" s="64" t="s">
        <v>83</v>
      </c>
      <c r="G23" s="42" t="s">
        <v>68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69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70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72</v>
      </c>
      <c r="H26" s="36">
        <v>1013</v>
      </c>
      <c r="I26" s="36">
        <v>0.28</v>
      </c>
      <c r="J26" s="65">
        <f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>H27*I27</f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79</v>
      </c>
      <c r="H28" s="36">
        <f>1500+500</f>
        <v>2000</v>
      </c>
      <c r="I28" s="36">
        <v>0.24</v>
      </c>
      <c r="J28" s="65">
        <f>H28*I28</f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60</v>
      </c>
      <c r="H29" s="36">
        <f>3013*5</f>
        <v>15065</v>
      </c>
      <c r="I29" s="36">
        <v>0.042</v>
      </c>
      <c r="J29" s="65">
        <f>H29*I29</f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84</v>
      </c>
      <c r="E30" s="28" t="s">
        <v>85</v>
      </c>
      <c r="F30" s="64" t="s">
        <v>86</v>
      </c>
      <c r="G30" s="42" t="s">
        <v>87</v>
      </c>
      <c r="H30" s="71">
        <f>1402+2438+3049+2202+1210</f>
        <v>10301</v>
      </c>
      <c r="I30" s="65">
        <v>1.07</v>
      </c>
      <c r="J30" s="65">
        <f>H30*I30</f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69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72</v>
      </c>
      <c r="H32" s="36">
        <f>589+1009+1220+883+505+773+1358+1740+1255+669</f>
        <v>10001</v>
      </c>
      <c r="I32" s="36">
        <v>0.28</v>
      </c>
      <c r="J32" s="36">
        <f t="shared" ref="J32:J41" si="2"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 t="shared" si="2"/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60</v>
      </c>
      <c r="H34" s="36">
        <f>10001*5</f>
        <v>50005</v>
      </c>
      <c r="I34" s="36">
        <v>0.042</v>
      </c>
      <c r="J34" s="36">
        <f t="shared" si="2"/>
        <v>2100.21</v>
      </c>
    </row>
    <row r="35" ht="16.5" spans="1:10">
      <c r="A35" s="27">
        <v>45730</v>
      </c>
      <c r="B35" s="28" t="s">
        <v>117</v>
      </c>
      <c r="C35" s="28" t="s">
        <v>220</v>
      </c>
      <c r="D35" s="70" t="s">
        <v>221</v>
      </c>
      <c r="E35" s="28" t="s">
        <v>222</v>
      </c>
      <c r="F35" s="64" t="s">
        <v>223</v>
      </c>
      <c r="G35" s="42" t="s">
        <v>224</v>
      </c>
      <c r="H35" s="71">
        <f>32000*1.02</f>
        <v>32640</v>
      </c>
      <c r="I35" s="65">
        <v>1.07</v>
      </c>
      <c r="J35" s="65">
        <f t="shared" si="2"/>
        <v>34924.8</v>
      </c>
    </row>
    <row r="36" ht="16.5" spans="1:10">
      <c r="A36" s="27"/>
      <c r="B36" s="28"/>
      <c r="C36" s="28"/>
      <c r="D36" s="70"/>
      <c r="E36" s="28"/>
      <c r="F36" s="67"/>
      <c r="G36" s="42" t="s">
        <v>69</v>
      </c>
      <c r="H36" s="71">
        <v>320</v>
      </c>
      <c r="I36" s="65">
        <v>0</v>
      </c>
      <c r="J36" s="65">
        <f t="shared" si="2"/>
        <v>0</v>
      </c>
    </row>
    <row r="37" ht="16.5" spans="1:10">
      <c r="A37" s="27"/>
      <c r="B37" s="28"/>
      <c r="C37" s="28"/>
      <c r="D37" s="70"/>
      <c r="E37" s="28"/>
      <c r="F37" s="67"/>
      <c r="G37" s="28" t="s">
        <v>95</v>
      </c>
      <c r="H37" s="71">
        <f>2*5*5+5</f>
        <v>55</v>
      </c>
      <c r="I37" s="65">
        <v>0</v>
      </c>
      <c r="J37" s="65">
        <f t="shared" si="2"/>
        <v>0</v>
      </c>
    </row>
    <row r="38" ht="16.5" spans="1:10">
      <c r="A38" s="27"/>
      <c r="B38" s="28"/>
      <c r="C38" s="28"/>
      <c r="D38" s="70"/>
      <c r="E38" s="28"/>
      <c r="F38" s="67"/>
      <c r="G38" s="42" t="s">
        <v>72</v>
      </c>
      <c r="H38" s="71">
        <f>8000+8000+8000+8000</f>
        <v>32000</v>
      </c>
      <c r="I38" s="36">
        <v>0.28</v>
      </c>
      <c r="J38" s="65">
        <f t="shared" si="2"/>
        <v>8960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71">
        <f>8000+8000+8000+8000</f>
        <v>32000</v>
      </c>
      <c r="I39" s="36">
        <v>0.11</v>
      </c>
      <c r="J39" s="65">
        <f t="shared" si="2"/>
        <v>3520</v>
      </c>
    </row>
    <row r="40" ht="16.5" spans="1:10">
      <c r="A40" s="27"/>
      <c r="B40" s="28"/>
      <c r="C40" s="28"/>
      <c r="D40" s="70"/>
      <c r="E40" s="28"/>
      <c r="F40" s="68"/>
      <c r="G40" s="36" t="s">
        <v>106</v>
      </c>
      <c r="H40" s="36">
        <f>32000*4</f>
        <v>128000</v>
      </c>
      <c r="I40" s="36">
        <v>0.042</v>
      </c>
      <c r="J40" s="36">
        <f t="shared" si="2"/>
        <v>5376</v>
      </c>
    </row>
    <row r="41" ht="16.5" spans="1:10">
      <c r="A41" s="27">
        <v>45733</v>
      </c>
      <c r="B41" s="28" t="s">
        <v>39</v>
      </c>
      <c r="C41" s="28" t="s">
        <v>43</v>
      </c>
      <c r="D41" s="70" t="s">
        <v>88</v>
      </c>
      <c r="E41" s="28" t="s">
        <v>89</v>
      </c>
      <c r="F41" s="64" t="s">
        <v>83</v>
      </c>
      <c r="G41" s="42" t="s">
        <v>90</v>
      </c>
      <c r="H41" s="71">
        <f>1414+2424+2929+2121+1212</f>
        <v>10100</v>
      </c>
      <c r="I41" s="65">
        <v>1.07</v>
      </c>
      <c r="J41" s="65">
        <f t="shared" si="2"/>
        <v>10807</v>
      </c>
    </row>
    <row r="42" ht="16.5" spans="1:10">
      <c r="A42" s="27"/>
      <c r="B42" s="28"/>
      <c r="C42" s="28"/>
      <c r="D42" s="70"/>
      <c r="E42" s="28"/>
      <c r="F42" s="67"/>
      <c r="G42" s="42" t="s">
        <v>69</v>
      </c>
      <c r="H42" s="71">
        <f>10000*0.01</f>
        <v>100</v>
      </c>
      <c r="I42" s="65">
        <v>0</v>
      </c>
      <c r="J42" s="65">
        <v>0</v>
      </c>
    </row>
    <row r="43" ht="16.5" spans="1:10">
      <c r="A43" s="27"/>
      <c r="B43" s="28"/>
      <c r="C43" s="28"/>
      <c r="D43" s="70"/>
      <c r="E43" s="28"/>
      <c r="F43" s="67"/>
      <c r="G43" s="42" t="s">
        <v>91</v>
      </c>
      <c r="H43" s="71">
        <f>1442+2472+2987+2163+1236-10100</f>
        <v>200</v>
      </c>
      <c r="I43" s="65">
        <v>1.07</v>
      </c>
      <c r="J43" s="65">
        <f t="shared" ref="J43:J74" si="3">H43*I43</f>
        <v>214</v>
      </c>
    </row>
    <row r="44" ht="16.5" spans="1:10">
      <c r="A44" s="27"/>
      <c r="B44" s="28"/>
      <c r="C44" s="28"/>
      <c r="D44" s="70"/>
      <c r="E44" s="28"/>
      <c r="F44" s="67"/>
      <c r="G44" s="42" t="s">
        <v>72</v>
      </c>
      <c r="H44" s="42">
        <f>840+1440+1740+1260+720+560+960+1160+840+480</f>
        <v>10000</v>
      </c>
      <c r="I44" s="36">
        <v>0.28</v>
      </c>
      <c r="J44" s="36">
        <f t="shared" si="3"/>
        <v>2800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42">
        <f>1400+2400+2900+2100+1200</f>
        <v>10000</v>
      </c>
      <c r="I45" s="36">
        <v>0.11</v>
      </c>
      <c r="J45" s="36">
        <f t="shared" si="3"/>
        <v>1100</v>
      </c>
    </row>
    <row r="46" ht="16.5" spans="1:10">
      <c r="A46" s="27"/>
      <c r="B46" s="28"/>
      <c r="C46" s="28"/>
      <c r="D46" s="70"/>
      <c r="E46" s="28"/>
      <c r="F46" s="68"/>
      <c r="G46" s="36" t="s">
        <v>60</v>
      </c>
      <c r="H46" s="36">
        <f>10000*5</f>
        <v>50000</v>
      </c>
      <c r="I46" s="36">
        <v>0.042</v>
      </c>
      <c r="J46" s="36">
        <f t="shared" si="3"/>
        <v>2100</v>
      </c>
    </row>
    <row r="47" ht="16.5" spans="1:10">
      <c r="A47" s="27">
        <v>45734</v>
      </c>
      <c r="B47" s="28" t="s">
        <v>39</v>
      </c>
      <c r="C47" s="28" t="s">
        <v>92</v>
      </c>
      <c r="D47" s="70" t="s">
        <v>93</v>
      </c>
      <c r="E47" s="28" t="s">
        <v>94</v>
      </c>
      <c r="F47" s="64" t="s">
        <v>83</v>
      </c>
      <c r="G47" s="42" t="s">
        <v>68</v>
      </c>
      <c r="H47" s="72">
        <v>9283</v>
      </c>
      <c r="I47" s="65">
        <v>1.07</v>
      </c>
      <c r="J47" s="65">
        <f t="shared" si="3"/>
        <v>9932.81</v>
      </c>
    </row>
    <row r="48" ht="16.5" spans="1:10">
      <c r="A48" s="27"/>
      <c r="B48" s="28"/>
      <c r="C48" s="28"/>
      <c r="D48" s="70"/>
      <c r="E48" s="28"/>
      <c r="F48" s="67"/>
      <c r="G48" s="42" t="s">
        <v>69</v>
      </c>
      <c r="H48" s="71">
        <v>90</v>
      </c>
      <c r="I48" s="65">
        <v>0</v>
      </c>
      <c r="J48" s="65">
        <f t="shared" si="3"/>
        <v>0</v>
      </c>
    </row>
    <row r="49" ht="16.5" spans="1:10">
      <c r="A49" s="27"/>
      <c r="B49" s="28"/>
      <c r="C49" s="28"/>
      <c r="D49" s="70"/>
      <c r="E49" s="28"/>
      <c r="F49" s="67"/>
      <c r="G49" s="28" t="s">
        <v>95</v>
      </c>
      <c r="H49" s="71">
        <f>4*5+5</f>
        <v>25</v>
      </c>
      <c r="I49" s="65">
        <v>0</v>
      </c>
      <c r="J49" s="65">
        <f t="shared" si="3"/>
        <v>0</v>
      </c>
    </row>
    <row r="50" ht="16.5" spans="1:10">
      <c r="A50" s="27"/>
      <c r="B50" s="28"/>
      <c r="C50" s="28"/>
      <c r="D50" s="70"/>
      <c r="E50" s="28"/>
      <c r="F50" s="67"/>
      <c r="G50" s="42" t="s">
        <v>72</v>
      </c>
      <c r="H50" s="71">
        <f>3000+3000+3000+13</f>
        <v>9013</v>
      </c>
      <c r="I50" s="36">
        <v>0.28</v>
      </c>
      <c r="J50" s="65">
        <f t="shared" si="3"/>
        <v>2523.64</v>
      </c>
    </row>
    <row r="51" ht="16.5" spans="1:10">
      <c r="A51" s="27"/>
      <c r="B51" s="28"/>
      <c r="C51" s="28"/>
      <c r="D51" s="70"/>
      <c r="E51" s="28"/>
      <c r="F51" s="67"/>
      <c r="G51" s="36" t="s">
        <v>22</v>
      </c>
      <c r="H51" s="71">
        <f>3000+3000+3000+13</f>
        <v>9013</v>
      </c>
      <c r="I51" s="36">
        <v>0.11</v>
      </c>
      <c r="J51" s="65">
        <f t="shared" si="3"/>
        <v>991.43</v>
      </c>
    </row>
    <row r="52" ht="16.5" spans="1:10">
      <c r="A52" s="27"/>
      <c r="B52" s="28"/>
      <c r="C52" s="28"/>
      <c r="D52" s="70"/>
      <c r="E52" s="28"/>
      <c r="F52" s="68"/>
      <c r="G52" s="36" t="s">
        <v>60</v>
      </c>
      <c r="H52" s="36">
        <f>9013*5</f>
        <v>45065</v>
      </c>
      <c r="I52" s="36">
        <v>0.042</v>
      </c>
      <c r="J52" s="36">
        <f t="shared" si="3"/>
        <v>1892.73</v>
      </c>
    </row>
    <row r="53" ht="16.5" spans="1:10">
      <c r="A53" s="27">
        <v>45738</v>
      </c>
      <c r="B53" s="28" t="s">
        <v>39</v>
      </c>
      <c r="C53" s="28" t="s">
        <v>96</v>
      </c>
      <c r="D53" s="70" t="s">
        <v>97</v>
      </c>
      <c r="E53" s="28" t="s">
        <v>98</v>
      </c>
      <c r="F53" s="64" t="s">
        <v>83</v>
      </c>
      <c r="G53" s="42" t="s">
        <v>68</v>
      </c>
      <c r="H53" s="65">
        <f>999+2338+4573+3203+1246</f>
        <v>12359</v>
      </c>
      <c r="I53" s="65">
        <v>1.07</v>
      </c>
      <c r="J53" s="65">
        <f t="shared" si="3"/>
        <v>13224.13</v>
      </c>
    </row>
    <row r="54" ht="16.5" spans="1:10">
      <c r="A54" s="27"/>
      <c r="B54" s="28"/>
      <c r="C54" s="28"/>
      <c r="D54" s="70"/>
      <c r="E54" s="28"/>
      <c r="F54" s="67"/>
      <c r="G54" s="42" t="s">
        <v>69</v>
      </c>
      <c r="H54" s="65">
        <f>12000*0.01</f>
        <v>120</v>
      </c>
      <c r="I54" s="65">
        <v>0</v>
      </c>
      <c r="J54" s="65">
        <f t="shared" si="3"/>
        <v>0</v>
      </c>
    </row>
    <row r="55" ht="16.5" spans="1:10">
      <c r="A55" s="27"/>
      <c r="B55" s="28"/>
      <c r="C55" s="28"/>
      <c r="D55" s="70"/>
      <c r="E55" s="28"/>
      <c r="F55" s="67"/>
      <c r="G55" s="42" t="s">
        <v>72</v>
      </c>
      <c r="H55" s="36">
        <v>2900</v>
      </c>
      <c r="I55" s="36">
        <v>0.28</v>
      </c>
      <c r="J55" s="65">
        <f t="shared" si="3"/>
        <v>812</v>
      </c>
    </row>
    <row r="56" ht="16.5" spans="1:10">
      <c r="A56" s="27"/>
      <c r="B56" s="28"/>
      <c r="C56" s="28"/>
      <c r="D56" s="70"/>
      <c r="E56" s="28"/>
      <c r="F56" s="67"/>
      <c r="G56" s="36" t="s">
        <v>22</v>
      </c>
      <c r="H56" s="36">
        <f>2900+2000</f>
        <v>4900</v>
      </c>
      <c r="I56" s="36">
        <v>0.11</v>
      </c>
      <c r="J56" s="65">
        <f t="shared" si="3"/>
        <v>539</v>
      </c>
    </row>
    <row r="57" ht="16.5" spans="1:10">
      <c r="A57" s="27"/>
      <c r="B57" s="28"/>
      <c r="C57" s="28"/>
      <c r="D57" s="70"/>
      <c r="E57" s="28"/>
      <c r="F57" s="67"/>
      <c r="G57" s="42" t="s">
        <v>79</v>
      </c>
      <c r="H57" s="36">
        <v>2000</v>
      </c>
      <c r="I57" s="36">
        <v>0.24</v>
      </c>
      <c r="J57" s="65">
        <f t="shared" si="3"/>
        <v>480</v>
      </c>
    </row>
    <row r="58" ht="16.5" spans="1:10">
      <c r="A58" s="27"/>
      <c r="B58" s="28"/>
      <c r="C58" s="28"/>
      <c r="D58" s="70"/>
      <c r="E58" s="28"/>
      <c r="F58" s="68"/>
      <c r="G58" s="36" t="s">
        <v>60</v>
      </c>
      <c r="H58" s="36">
        <f>12000*5</f>
        <v>60000</v>
      </c>
      <c r="I58" s="36">
        <v>0.042</v>
      </c>
      <c r="J58" s="36">
        <f t="shared" si="3"/>
        <v>2520</v>
      </c>
    </row>
    <row r="59" ht="16.5" spans="1:10">
      <c r="A59" s="27">
        <v>45742</v>
      </c>
      <c r="B59" s="28" t="s">
        <v>225</v>
      </c>
      <c r="C59" s="28" t="s">
        <v>226</v>
      </c>
      <c r="D59" s="70" t="s">
        <v>227</v>
      </c>
      <c r="E59" s="28" t="s">
        <v>228</v>
      </c>
      <c r="F59" s="73" t="s">
        <v>78</v>
      </c>
      <c r="G59" s="42" t="s">
        <v>87</v>
      </c>
      <c r="H59" s="42">
        <v>8000</v>
      </c>
      <c r="I59" s="42">
        <v>1.07</v>
      </c>
      <c r="J59" s="42">
        <f t="shared" si="3"/>
        <v>8560</v>
      </c>
    </row>
    <row r="60" ht="16.5" spans="1:10">
      <c r="A60" s="27"/>
      <c r="B60" s="28"/>
      <c r="C60" s="28"/>
      <c r="D60" s="70"/>
      <c r="E60" s="28"/>
      <c r="F60" s="73"/>
      <c r="G60" s="42" t="s">
        <v>69</v>
      </c>
      <c r="H60" s="42">
        <f>H59*0.01</f>
        <v>80</v>
      </c>
      <c r="I60" s="42">
        <v>0</v>
      </c>
      <c r="J60" s="42">
        <f t="shared" si="3"/>
        <v>0</v>
      </c>
    </row>
    <row r="61" ht="16.5" spans="1:10">
      <c r="A61" s="27"/>
      <c r="B61" s="28"/>
      <c r="C61" s="28"/>
      <c r="D61" s="70"/>
      <c r="E61" s="28"/>
      <c r="F61" s="73"/>
      <c r="G61" s="42" t="s">
        <v>72</v>
      </c>
      <c r="H61" s="42">
        <v>8000</v>
      </c>
      <c r="I61" s="42">
        <v>0.28</v>
      </c>
      <c r="J61" s="42">
        <f t="shared" si="3"/>
        <v>2240</v>
      </c>
    </row>
    <row r="62" ht="16.5" spans="1:10">
      <c r="A62" s="27"/>
      <c r="B62" s="28"/>
      <c r="C62" s="28"/>
      <c r="D62" s="70"/>
      <c r="E62" s="28"/>
      <c r="F62" s="73"/>
      <c r="G62" s="42" t="s">
        <v>22</v>
      </c>
      <c r="H62" s="42">
        <v>8000</v>
      </c>
      <c r="I62" s="42">
        <v>0.11</v>
      </c>
      <c r="J62" s="42">
        <f t="shared" si="3"/>
        <v>880</v>
      </c>
    </row>
    <row r="63" ht="16.5" spans="1:10">
      <c r="A63" s="27"/>
      <c r="B63" s="28"/>
      <c r="C63" s="28"/>
      <c r="D63" s="70"/>
      <c r="E63" s="28"/>
      <c r="F63" s="73"/>
      <c r="G63" s="42" t="s">
        <v>106</v>
      </c>
      <c r="H63" s="42">
        <f>8000*4</f>
        <v>32000</v>
      </c>
      <c r="I63" s="42">
        <v>0.042</v>
      </c>
      <c r="J63" s="42">
        <f t="shared" si="3"/>
        <v>1344</v>
      </c>
    </row>
    <row r="64" ht="16.5" spans="1:10">
      <c r="A64" s="27"/>
      <c r="B64" s="28"/>
      <c r="C64" s="28"/>
      <c r="D64" s="70"/>
      <c r="E64" s="28"/>
      <c r="F64" s="73"/>
      <c r="G64" s="42" t="s">
        <v>87</v>
      </c>
      <c r="H64" s="42">
        <v>5000</v>
      </c>
      <c r="I64" s="42">
        <v>1.07</v>
      </c>
      <c r="J64" s="42">
        <f t="shared" si="3"/>
        <v>5350</v>
      </c>
    </row>
    <row r="65" ht="16.5" spans="1:10">
      <c r="A65" s="27"/>
      <c r="B65" s="28"/>
      <c r="C65" s="28"/>
      <c r="D65" s="70"/>
      <c r="E65" s="28"/>
      <c r="F65" s="73"/>
      <c r="G65" s="42" t="s">
        <v>69</v>
      </c>
      <c r="H65" s="42">
        <f>H64*0.01</f>
        <v>50</v>
      </c>
      <c r="I65" s="42">
        <v>0</v>
      </c>
      <c r="J65" s="42">
        <f t="shared" si="3"/>
        <v>0</v>
      </c>
    </row>
    <row r="66" ht="16.5" spans="1:10">
      <c r="A66" s="27"/>
      <c r="B66" s="28"/>
      <c r="C66" s="28"/>
      <c r="D66" s="70"/>
      <c r="E66" s="28"/>
      <c r="F66" s="73"/>
      <c r="G66" s="42" t="s">
        <v>72</v>
      </c>
      <c r="H66" s="42">
        <v>5000</v>
      </c>
      <c r="I66" s="42">
        <v>0.28</v>
      </c>
      <c r="J66" s="42">
        <f t="shared" si="3"/>
        <v>1400</v>
      </c>
    </row>
    <row r="67" ht="16.5" spans="1:10">
      <c r="A67" s="27"/>
      <c r="B67" s="28"/>
      <c r="C67" s="28"/>
      <c r="D67" s="70"/>
      <c r="E67" s="28"/>
      <c r="F67" s="73"/>
      <c r="G67" s="42" t="s">
        <v>22</v>
      </c>
      <c r="H67" s="42">
        <v>5000</v>
      </c>
      <c r="I67" s="42">
        <v>0.11</v>
      </c>
      <c r="J67" s="42">
        <f t="shared" si="3"/>
        <v>550</v>
      </c>
    </row>
    <row r="68" ht="16.5" spans="1:10">
      <c r="A68" s="27"/>
      <c r="B68" s="28"/>
      <c r="C68" s="28"/>
      <c r="D68" s="70"/>
      <c r="E68" s="28"/>
      <c r="F68" s="73"/>
      <c r="G68" s="42" t="s">
        <v>106</v>
      </c>
      <c r="H68" s="42">
        <f>5000*4</f>
        <v>20000</v>
      </c>
      <c r="I68" s="42">
        <v>0.042</v>
      </c>
      <c r="J68" s="42">
        <f t="shared" si="3"/>
        <v>840</v>
      </c>
    </row>
    <row r="69" ht="16.5" spans="1:10">
      <c r="A69" s="27"/>
      <c r="B69" s="28"/>
      <c r="C69" s="28"/>
      <c r="D69" s="70"/>
      <c r="E69" s="28"/>
      <c r="F69" s="73"/>
      <c r="G69" s="42" t="s">
        <v>110</v>
      </c>
      <c r="H69" s="42">
        <v>43260</v>
      </c>
      <c r="I69" s="42">
        <v>0.33</v>
      </c>
      <c r="J69" s="42">
        <f t="shared" si="3"/>
        <v>14275.8</v>
      </c>
    </row>
    <row r="70" ht="16.5" spans="1:10">
      <c r="A70" s="27">
        <v>45761</v>
      </c>
      <c r="B70" s="28" t="s">
        <v>225</v>
      </c>
      <c r="C70" s="28" t="s">
        <v>229</v>
      </c>
      <c r="D70" s="70" t="s">
        <v>230</v>
      </c>
      <c r="E70" s="28" t="s">
        <v>231</v>
      </c>
      <c r="F70" s="64" t="s">
        <v>232</v>
      </c>
      <c r="G70" s="36" t="s">
        <v>22</v>
      </c>
      <c r="H70" s="77">
        <f>38000*0.01</f>
        <v>380</v>
      </c>
      <c r="I70" s="36">
        <v>0.11</v>
      </c>
      <c r="J70" s="36">
        <f t="shared" si="3"/>
        <v>41.8</v>
      </c>
    </row>
    <row r="71" ht="16.5" spans="1:10">
      <c r="A71" s="27"/>
      <c r="B71" s="28"/>
      <c r="C71" s="28"/>
      <c r="D71" s="70"/>
      <c r="E71" s="28"/>
      <c r="F71" s="67"/>
      <c r="G71" s="42" t="s">
        <v>233</v>
      </c>
      <c r="H71" s="77">
        <f>38000*0.01*4</f>
        <v>1520</v>
      </c>
      <c r="I71" s="36">
        <v>0.042</v>
      </c>
      <c r="J71" s="36">
        <f t="shared" si="3"/>
        <v>63.84</v>
      </c>
    </row>
    <row r="72" ht="16.5" spans="1:10">
      <c r="A72" s="27"/>
      <c r="B72" s="28"/>
      <c r="C72" s="28"/>
      <c r="D72" s="70"/>
      <c r="E72" s="28"/>
      <c r="F72" s="67"/>
      <c r="G72" s="36" t="s">
        <v>234</v>
      </c>
      <c r="H72" s="77">
        <v>1935</v>
      </c>
      <c r="I72" s="36">
        <v>0.85</v>
      </c>
      <c r="J72" s="36">
        <f t="shared" si="3"/>
        <v>1644.75</v>
      </c>
    </row>
    <row r="73" ht="16.5" spans="1:10">
      <c r="A73" s="27"/>
      <c r="B73" s="28"/>
      <c r="C73" s="28"/>
      <c r="D73" s="70"/>
      <c r="E73" s="28"/>
      <c r="F73" s="67"/>
      <c r="G73" s="36" t="s">
        <v>235</v>
      </c>
      <c r="H73" s="42">
        <v>19</v>
      </c>
      <c r="I73" s="36">
        <v>0</v>
      </c>
      <c r="J73" s="36">
        <f t="shared" si="3"/>
        <v>0</v>
      </c>
    </row>
    <row r="74" ht="16.5" spans="1:10">
      <c r="A74" s="27"/>
      <c r="B74" s="28"/>
      <c r="C74" s="28"/>
      <c r="D74" s="70"/>
      <c r="E74" s="28"/>
      <c r="F74" s="68"/>
      <c r="G74" s="42" t="s">
        <v>236</v>
      </c>
      <c r="H74" s="77">
        <f>48+105+135+90+45</f>
        <v>423</v>
      </c>
      <c r="I74" s="36">
        <v>0.15</v>
      </c>
      <c r="J74" s="36">
        <f t="shared" si="3"/>
        <v>63.45</v>
      </c>
    </row>
    <row r="75" ht="16.5" spans="10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0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2" t="s">
        <v>14</v>
      </c>
    </row>
    <row r="3" s="1" customFormat="1" ht="16.5" spans="1:11">
      <c r="A3" s="44">
        <v>45642</v>
      </c>
      <c r="B3" s="36" t="s">
        <v>237</v>
      </c>
      <c r="C3" s="28">
        <v>17476</v>
      </c>
      <c r="D3" s="45" t="s">
        <v>238</v>
      </c>
      <c r="E3" s="46" t="s">
        <v>239</v>
      </c>
      <c r="F3" s="47" t="s">
        <v>240</v>
      </c>
      <c r="G3" s="42" t="s">
        <v>241</v>
      </c>
      <c r="H3" s="42">
        <v>5400</v>
      </c>
      <c r="I3" s="53">
        <v>0.195</v>
      </c>
      <c r="J3" s="42">
        <f>H3*I3</f>
        <v>1053</v>
      </c>
      <c r="K3" s="40"/>
    </row>
    <row r="4" s="1" customFormat="1" ht="16.5" spans="1:10">
      <c r="A4" s="37"/>
      <c r="B4"/>
      <c r="C4" s="24"/>
      <c r="D4"/>
      <c r="E4" s="38"/>
      <c r="F4" s="39"/>
      <c r="G4"/>
      <c r="H4"/>
      <c r="I4" s="43" t="s">
        <v>49</v>
      </c>
      <c r="J4" s="43">
        <f>SUM(J3:J3)</f>
        <v>1053</v>
      </c>
    </row>
    <row r="5" spans="1:6">
      <c r="A5" s="38"/>
      <c r="F5" s="40"/>
    </row>
    <row r="7" ht="28.5" spans="1:10">
      <c r="A7" s="48" t="s">
        <v>179</v>
      </c>
      <c r="B7" s="48"/>
      <c r="C7" s="48"/>
      <c r="D7" s="48"/>
      <c r="E7" s="48"/>
      <c r="F7" s="48"/>
      <c r="G7" s="48"/>
      <c r="H7" s="48"/>
      <c r="I7" s="48"/>
      <c r="J7" s="48"/>
    </row>
    <row r="8" ht="14.5" spans="1:10">
      <c r="A8" s="49" t="s">
        <v>180</v>
      </c>
      <c r="B8" s="49" t="s">
        <v>181</v>
      </c>
      <c r="C8" s="49" t="s">
        <v>182</v>
      </c>
      <c r="D8" s="49" t="s">
        <v>183</v>
      </c>
      <c r="E8" s="49" t="s">
        <v>184</v>
      </c>
      <c r="F8" s="50" t="s">
        <v>185</v>
      </c>
      <c r="G8" s="49" t="s">
        <v>186</v>
      </c>
      <c r="H8" s="49" t="s">
        <v>187</v>
      </c>
      <c r="I8" s="49" t="s">
        <v>188</v>
      </c>
      <c r="J8" s="49" t="s">
        <v>189</v>
      </c>
    </row>
    <row r="9" ht="28.5" spans="1:10">
      <c r="A9" s="49"/>
      <c r="B9" s="49"/>
      <c r="C9" s="49"/>
      <c r="D9" s="49" t="s">
        <v>190</v>
      </c>
      <c r="E9" s="49"/>
      <c r="F9" s="50" t="s">
        <v>191</v>
      </c>
      <c r="G9" s="49"/>
      <c r="H9" s="49"/>
      <c r="I9" s="51" t="s">
        <v>192</v>
      </c>
      <c r="J9" s="49"/>
    </row>
    <row r="10" ht="28" spans="1:10">
      <c r="A10" s="51">
        <v>1</v>
      </c>
      <c r="B10" s="52">
        <v>45747</v>
      </c>
      <c r="C10" s="49" t="s">
        <v>193</v>
      </c>
      <c r="D10" s="49" t="s">
        <v>194</v>
      </c>
      <c r="E10" s="49" t="s">
        <v>242</v>
      </c>
      <c r="F10" s="49" t="s">
        <v>243</v>
      </c>
      <c r="G10" s="49" t="s">
        <v>244</v>
      </c>
      <c r="H10" s="49">
        <v>5400</v>
      </c>
      <c r="I10" s="54">
        <v>1053</v>
      </c>
      <c r="J10" s="49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spans="1:11">
      <c r="A3" s="27">
        <v>45700</v>
      </c>
      <c r="B3" s="28" t="s">
        <v>39</v>
      </c>
      <c r="C3" s="28" t="s">
        <v>64</v>
      </c>
      <c r="D3" s="29" t="s">
        <v>65</v>
      </c>
      <c r="E3" s="28" t="s">
        <v>66</v>
      </c>
      <c r="F3" s="30" t="s">
        <v>67</v>
      </c>
      <c r="G3" s="31" t="s">
        <v>68</v>
      </c>
      <c r="H3" s="32">
        <v>8782</v>
      </c>
      <c r="I3" s="36">
        <v>1.07</v>
      </c>
      <c r="J3" s="42">
        <f>H3*I3</f>
        <v>9396.74</v>
      </c>
      <c r="K3" s="40"/>
    </row>
    <row r="4" s="1" customFormat="1" ht="16.5" spans="1:11">
      <c r="A4" s="27"/>
      <c r="B4" s="28"/>
      <c r="C4" s="28"/>
      <c r="D4" s="29"/>
      <c r="E4" s="28"/>
      <c r="F4" s="33"/>
      <c r="G4" s="31" t="s">
        <v>69</v>
      </c>
      <c r="H4" s="32">
        <f>H6*0.01</f>
        <v>85.26</v>
      </c>
      <c r="I4" s="36">
        <v>0</v>
      </c>
      <c r="J4" s="42">
        <f>H4*I4</f>
        <v>0</v>
      </c>
      <c r="K4" s="40"/>
    </row>
    <row r="5" s="1" customFormat="1" ht="16.5" spans="1:11">
      <c r="A5" s="27"/>
      <c r="B5" s="28"/>
      <c r="C5" s="28"/>
      <c r="D5" s="29"/>
      <c r="E5" s="28"/>
      <c r="F5" s="34"/>
      <c r="G5" s="31" t="s">
        <v>70</v>
      </c>
      <c r="H5" s="32">
        <f>20+5+5</f>
        <v>30</v>
      </c>
      <c r="I5" s="36">
        <v>0</v>
      </c>
      <c r="J5" s="42">
        <f>H5*I5</f>
        <v>0</v>
      </c>
      <c r="K5" s="40"/>
    </row>
    <row r="6" s="1" customFormat="1" ht="16.5" spans="1:11">
      <c r="A6" s="27"/>
      <c r="B6" s="28"/>
      <c r="C6" s="28"/>
      <c r="D6" s="29"/>
      <c r="E6" s="28"/>
      <c r="F6" s="35" t="s">
        <v>71</v>
      </c>
      <c r="G6" s="31" t="s">
        <v>72</v>
      </c>
      <c r="H6" s="36">
        <f>3500+2500+2500+26</f>
        <v>8526</v>
      </c>
      <c r="I6" s="36">
        <v>0.28</v>
      </c>
      <c r="J6" s="42">
        <f>H6*I6</f>
        <v>2387.28</v>
      </c>
      <c r="K6" s="40"/>
    </row>
    <row r="7" s="1" customFormat="1" ht="16.5" spans="1:11">
      <c r="A7" s="27"/>
      <c r="B7" s="28"/>
      <c r="C7" s="28"/>
      <c r="D7" s="29"/>
      <c r="E7" s="28"/>
      <c r="F7" s="35" t="s">
        <v>71</v>
      </c>
      <c r="G7" s="31" t="s">
        <v>73</v>
      </c>
      <c r="H7" s="36">
        <f>250+175</f>
        <v>425</v>
      </c>
      <c r="I7" s="36">
        <v>0.042</v>
      </c>
      <c r="J7" s="42">
        <f>H7*I7</f>
        <v>17.85</v>
      </c>
      <c r="K7" s="40"/>
    </row>
    <row r="8" s="1" customFormat="1" ht="16.5" spans="1:11">
      <c r="A8" s="37"/>
      <c r="B8"/>
      <c r="C8" s="24"/>
      <c r="D8"/>
      <c r="E8" s="38"/>
      <c r="F8" s="39"/>
      <c r="G8"/>
      <c r="H8"/>
      <c r="I8" s="43" t="s">
        <v>49</v>
      </c>
      <c r="J8" s="43">
        <f>SUM(J3:J7)</f>
        <v>11801.87</v>
      </c>
      <c r="K8"/>
    </row>
    <row r="9" spans="1:6">
      <c r="A9" s="38"/>
      <c r="F9" s="40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2024-5月-7月-已开票</vt:lpstr>
      <vt:lpstr>4月Adela-国内</vt:lpstr>
      <vt:lpstr>4月Adela-孟加拉</vt:lpstr>
      <vt:lpstr>8月Emily-人民币</vt:lpstr>
      <vt:lpstr>8月Emily-人民币 (2)</vt:lpstr>
      <vt:lpstr>8月Emily-美金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2025-08-29T07:11:08Z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9FAAFD8B5014488185594E6492FB333D_13</vt:lpwstr>
  </property>
</Properties>
</file>