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firstSheet="1" activeTab="1"/>
  </bookViews>
  <sheets>
    <sheet name="2024-5月-7月-已开票" sheetId="19" state="hidden" r:id="rId1"/>
    <sheet name="8月Adela-国内" sheetId="20" r:id="rId2"/>
    <sheet name="8月Adela-孟加拉" sheetId="29" r:id="rId3"/>
    <sheet name="Sheet1" sheetId="30" r:id="rId4"/>
    <sheet name="4月Emily" sheetId="27" state="hidden" r:id="rId5"/>
    <sheet name="4月Adela (2)" sheetId="28" state="hidden" r:id="rId6"/>
    <sheet name="12月miranda" sheetId="24" state="hidden" r:id="rId7"/>
    <sheet name="对账单" sheetId="26" state="hidden" r:id="rId8"/>
    <sheet name="4月已开票" sheetId="21" state="hidden" r:id="rId9"/>
  </sheets>
  <definedNames>
    <definedName name="_xlnm._FilterDatabase" localSheetId="0" hidden="1">'2024-5月-7月-已开票'!$A$2:$O$36</definedName>
    <definedName name="_xlnm._FilterDatabase" localSheetId="1" hidden="1">'8月Adela-国内'!$A$1:$J$99</definedName>
    <definedName name="_xlnm._FilterDatabase" localSheetId="2" hidden="1">'8月Adela-孟加拉'!$A$1:$J$21</definedName>
    <definedName name="_xlnm._FilterDatabase" localSheetId="4" hidden="1">'4月Emily'!$A$1:$J$20</definedName>
    <definedName name="_xlnm._FilterDatabase" localSheetId="5" hidden="1">'4月Adela (2)'!$A$1:$J$75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<sst xmlns="http://schemas.openxmlformats.org/spreadsheetml/2006/main" count="666" uniqueCount="284">
  <si>
    <t>同德2024对 账 单-Recall</t>
  </si>
  <si>
    <t>下单时间</t>
  </si>
  <si>
    <t>客户联系人</t>
  </si>
  <si>
    <t>PO号</t>
  </si>
  <si>
    <t>睿颢合同号</t>
  </si>
  <si>
    <t>款号</t>
  </si>
  <si>
    <t>出货时间</t>
  </si>
  <si>
    <t>实出货数</t>
  </si>
  <si>
    <t>其中备用数</t>
  </si>
  <si>
    <t>对账数</t>
  </si>
  <si>
    <t>单价</t>
  </si>
  <si>
    <t>合计金额</t>
  </si>
  <si>
    <t>品名</t>
  </si>
  <si>
    <t>数量(片）</t>
  </si>
  <si>
    <t>金额(RMB)</t>
  </si>
  <si>
    <t>Nicole</t>
  </si>
  <si>
    <t>RBSKNJTD002</t>
  </si>
  <si>
    <t>WARRIOR 6806-046-401/805
BANGLADESH 男上</t>
  </si>
  <si>
    <t>2024/6/27</t>
  </si>
  <si>
    <t>白色织标WLBCGEN014（02B）-51*51mm</t>
  </si>
  <si>
    <t>白色缎带洗标CLBCGEN003*8页-63*25mm</t>
  </si>
  <si>
    <t>白色吊牌HPBCGEN001-60*95mm</t>
  </si>
  <si>
    <t>黑色吊绳 MRBCGEN004-320*1.5mm</t>
  </si>
  <si>
    <t>RBSKNJTD003</t>
  </si>
  <si>
    <t>WOODSIDE 6807-046-743/800
BANGLADESH 男上</t>
  </si>
  <si>
    <t>白色缎带洗标CLBCGEN003*6页-63*25mm</t>
  </si>
  <si>
    <t>Vincent</t>
  </si>
  <si>
    <t>RBSKNJTD004</t>
  </si>
  <si>
    <t>WARRIOR 6806-046-401/805
ASOS BANGLADESH 男上</t>
  </si>
  <si>
    <t>白色吊牌HPBCGEN001-60*95mm-ASOS</t>
  </si>
  <si>
    <t>ASOS贴纸101.6*38.1mm（热胶）BKSKR24011</t>
  </si>
  <si>
    <t>拷贝纸BKOTH24006-45*30cm</t>
  </si>
  <si>
    <t>RBSKNJTD005</t>
  </si>
  <si>
    <t>WOODSIDE 6807-046-743/800
ASOS BANGLADESH 男上</t>
  </si>
  <si>
    <t>57263
57264
58410
57457
59448
59451</t>
  </si>
  <si>
    <t>RBSKNJTD006</t>
  </si>
  <si>
    <t>PANDORA 6774-046-800
BANGLADESH 男上</t>
  </si>
  <si>
    <t>黑色织标BKWOL24011-51*51mm</t>
  </si>
  <si>
    <t>白色缎带洗标CLBCGEN003*7页-60*25mm（加页码）</t>
  </si>
  <si>
    <t>Adela</t>
  </si>
  <si>
    <t>57263
57264</t>
  </si>
  <si>
    <t>RBSKNJTD007</t>
  </si>
  <si>
    <t>PANDORA 6774-046-800
BANGLADESH 男上
翻1</t>
  </si>
  <si>
    <t>/</t>
  </si>
  <si>
    <t>RBSKNJTD008</t>
  </si>
  <si>
    <t>PANDORA 6774-046-800
BANGLADESH 男上
翻2</t>
  </si>
  <si>
    <t>直接替换未出货</t>
  </si>
  <si>
    <t>白色缎带洗标CLBCGEN003*1页-63*25mm-做错</t>
  </si>
  <si>
    <t>价格贴：红 BKSKR24002 蓝 BKSKR24001-复合</t>
  </si>
  <si>
    <t>合计</t>
  </si>
  <si>
    <t>同德2025对 账 单-Recall</t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</si>
  <si>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(RMB)</t>
    </r>
  </si>
  <si>
    <t>RBSKNJTD009</t>
  </si>
  <si>
    <t>PANDORA 6774-046-800
BANGLADESH 男上
翻3</t>
  </si>
  <si>
    <t>未出货 客人取消</t>
  </si>
  <si>
    <t>RBSKNJTD015</t>
  </si>
  <si>
    <t>2025.1.23</t>
  </si>
  <si>
    <t>白色胶带洗标35*100mm</t>
  </si>
  <si>
    <t>报关单号</t>
  </si>
  <si>
    <t>80107
80109
79236</t>
  </si>
  <si>
    <t>RBSKNJTD045</t>
  </si>
  <si>
    <t>PINTA 3606-140-800
BANGLADESH 男上装 夹克 翻单1</t>
  </si>
  <si>
    <t>2025.5.29</t>
  </si>
  <si>
    <t>白色缎带洗标CLBCGEN003*2页-60*25mm（第1、2页）</t>
  </si>
  <si>
    <t>HZBT25023-C</t>
  </si>
  <si>
    <t>白色缎带洗标CLBCGEN003*3页-60*25mm（后3页）</t>
  </si>
  <si>
    <t>实际</t>
  </si>
  <si>
    <t>多开</t>
  </si>
  <si>
    <t>RBSKNJTD047</t>
  </si>
  <si>
    <t>PALOMA 6770-046-800
BANGLADESH 男上装 翻单3</t>
  </si>
  <si>
    <t>2025.6.22</t>
  </si>
  <si>
    <t>白色吊牌HPBCRFI001-60*95mm-RFID LOGO</t>
  </si>
  <si>
    <t>78733
80617
80909
81390</t>
  </si>
  <si>
    <t>RBSKNJTD048</t>
  </si>
  <si>
    <t>ACHIOTE 6795-046-700
BANGLADESH 男上装</t>
  </si>
  <si>
    <t>黑色织标WLBCGEN013-51*51mm</t>
  </si>
  <si>
    <t>81299
81300
81932
81309</t>
  </si>
  <si>
    <t>RBSKNJTD052</t>
  </si>
  <si>
    <t>NEGRONI  6809-046-800
BANGLADESH 男上装</t>
  </si>
  <si>
    <t>白色缎带洗标CLBCGEN003*9页-60*25mm（加页码）</t>
  </si>
  <si>
    <t>HZBT25026-D</t>
  </si>
  <si>
    <t>黑色织标WLBCRFI006-51*51mm-RFID（+3%）</t>
  </si>
  <si>
    <t>黑色织标WLBCRFI006-51*51mm-免费损耗1%</t>
  </si>
  <si>
    <t>黑色织标WLBCRFI006-51*51mm-大货样</t>
  </si>
  <si>
    <t>RBSKNJTD053</t>
  </si>
  <si>
    <t>PALOMA 6770-046-800
BANGLADESH 男上装 翻单4</t>
  </si>
  <si>
    <t>WLBCRFI005 RFID白织标-51*51mm</t>
  </si>
  <si>
    <t>HZBT25026-A</t>
  </si>
  <si>
    <t>WLBCRFI005 RFID白织标-51*51mm-免费损耗1%</t>
  </si>
  <si>
    <t>白色缎带洗标CLBCGEN003*5页-60*25mm（加页码）</t>
  </si>
  <si>
    <t>78414</t>
  </si>
  <si>
    <t>RBSKNJTD055</t>
  </si>
  <si>
    <t>PINTA 3606-140-800
BANGLADESH 男上装 夹克 翻单2</t>
  </si>
  <si>
    <t>黑色 吊绳 MRBCGEN004-320*1.5mm</t>
  </si>
  <si>
    <t>HZBT25026-C</t>
  </si>
  <si>
    <t>2025.6.20</t>
  </si>
  <si>
    <t>2025.6.21</t>
  </si>
  <si>
    <t>RBSKNJTD056</t>
  </si>
  <si>
    <t>PINTA 3606-046-802
BANGLADESH 男上背心 RFID加单7</t>
  </si>
  <si>
    <t>81793
83333</t>
  </si>
  <si>
    <t>RBSKNJTD058</t>
  </si>
  <si>
    <t>CONTRA 6400-046-812
China 男上装</t>
  </si>
  <si>
    <t>2025.7.5</t>
  </si>
  <si>
    <t>2025.6.29</t>
  </si>
  <si>
    <t>空白标BKKBXM24002（60*25mm）</t>
  </si>
  <si>
    <t>2025.6.27</t>
  </si>
  <si>
    <t>白色织标WLBCGEN017（05B）-65*19mm</t>
  </si>
  <si>
    <t>2025.7.18</t>
  </si>
  <si>
    <t>缎带BSK警告标  ADBCGEN002-120*55mm</t>
  </si>
  <si>
    <t>2025.7.9</t>
  </si>
  <si>
    <t>油性拷贝纸-75*100cm-21g BKOTH25008</t>
  </si>
  <si>
    <t>81664
82867</t>
  </si>
  <si>
    <t>RBSKNJTD059</t>
  </si>
  <si>
    <t>PALOMA 6770-046-800
BANGLADESH 男上装 翻单5</t>
  </si>
  <si>
    <t>2025.6.28</t>
  </si>
  <si>
    <t>HZBT25028-B</t>
  </si>
  <si>
    <t>PINTA 3606-140-800翻单4</t>
  </si>
  <si>
    <t>2025.7.11</t>
  </si>
  <si>
    <t>HZBT25029-C</t>
  </si>
  <si>
    <t>PINTA 3606-046-802</t>
  </si>
  <si>
    <t>PALOMA 6770-046-800 翻单6</t>
  </si>
  <si>
    <t>82766
82767
84341
84767</t>
  </si>
  <si>
    <t>RBSKNJTD063</t>
  </si>
  <si>
    <t>PINTA 3606-140-800
BANGLADESH 男上装 夹克 翻单4</t>
  </si>
  <si>
    <t>2025.7.17</t>
  </si>
  <si>
    <t>83887
84184
84770</t>
  </si>
  <si>
    <t>RBSKNJTD065</t>
  </si>
  <si>
    <t>PALOMA 6770-046-800
BANGLADESH 男上装 翻单6</t>
  </si>
  <si>
    <t>RBSKNJTD068</t>
  </si>
  <si>
    <t>PINTA 3606-140-800
BANGLADESH 男上装 夹克 翻单6</t>
  </si>
  <si>
    <t>WLBCRFI005 RFID白织标-51*51mm（+3%）</t>
  </si>
  <si>
    <t>2025.7.31</t>
  </si>
  <si>
    <t>RBSKNJTD069</t>
  </si>
  <si>
    <t>PINTA 3606-046-802
BANGLADESH 男上背心 RFID加单10</t>
  </si>
  <si>
    <t>40002
40003
40051
85319</t>
  </si>
  <si>
    <t>RBSKNJTD073</t>
  </si>
  <si>
    <t>PRINGLE 6821-046-250/800
BANGLADESH 男上装</t>
  </si>
  <si>
    <t>2025.8.6</t>
  </si>
  <si>
    <t>2025.8.1</t>
  </si>
  <si>
    <t>黑色织标WLBCRFI006-51*51mm-RFID(+3%)</t>
  </si>
  <si>
    <t>87001
85375
86576</t>
  </si>
  <si>
    <t>RBSKNJTD074</t>
  </si>
  <si>
    <t>PALOMA 6770-046-800
BANGLADESH 男上装 翻单7</t>
  </si>
  <si>
    <t>RBSKNJTD075</t>
  </si>
  <si>
    <t>PINTA 3606-140-800
BANGLADESH 男上装 夹克 翻单7</t>
  </si>
  <si>
    <t>RBSKNJTD077</t>
  </si>
  <si>
    <t>PINTA 3606-140-800
BANGLADESH 男上装 夹克 翻单8</t>
  </si>
  <si>
    <t>WLBCRFI005 RFID白织标-51*51mm-免费大货样</t>
  </si>
  <si>
    <t>RBSKNJTD078</t>
  </si>
  <si>
    <t>PRINGLE 6821-046-800
BANGLADESH 男上装 翻单1</t>
  </si>
  <si>
    <t>2025.8.14</t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</si>
  <si>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(USD)</t>
    </r>
  </si>
  <si>
    <t>RBSKNJTD033</t>
  </si>
  <si>
    <t>PINTA 3606-046-802
BANGLADESH 男上背心 RFID加单1 补单</t>
  </si>
  <si>
    <t>2025.4.19</t>
  </si>
  <si>
    <t>白色缎带洗标CLBCGEN003*1页-60*25mm（S码条码页）</t>
  </si>
  <si>
    <t>77944
77918
78414
78832</t>
  </si>
  <si>
    <t>RBSKNJTD031</t>
  </si>
  <si>
    <t>PINTA 3606-140-800/802
BANGLADESH 男上装 夹克</t>
  </si>
  <si>
    <t>2025.5.13</t>
  </si>
  <si>
    <t>白色缎带洗标CLBCGEN003*2页-60*25mm（加页码）</t>
  </si>
  <si>
    <t>2025.5.18</t>
  </si>
  <si>
    <t>白色缎带洗标CLBCGEN003*2页-60*25mm（1%损耗）</t>
  </si>
  <si>
    <t>白色吊牌HPBCGEN001-60*95mm-1%损耗</t>
  </si>
  <si>
    <t>RBSKNJTD060</t>
  </si>
  <si>
    <t>PINTA 3606-140-800
BANGLADESH 男上装 夹克 翻单3</t>
  </si>
  <si>
    <t>81982
82768</t>
  </si>
  <si>
    <t>RBSKNJTD066</t>
  </si>
  <si>
    <t>PINTA 3606-046-802
BANGLADESH 男上背心 RFID加单9</t>
  </si>
  <si>
    <t>RBSKNJTD067</t>
  </si>
  <si>
    <t>PINTA 3606-140-800
BANGLADESH 男上装 夹克 翻单5</t>
  </si>
  <si>
    <t>RBSKNJTD072</t>
  </si>
  <si>
    <t>NEGRONI  6809-046-800
BANGLADESH 男上装 翻单1</t>
  </si>
  <si>
    <t>白色吊牌HPBCRFI001-60*95mm-RFID LOGO（ZALA）</t>
  </si>
  <si>
    <t>白色吊牌HPBCRFI001-60*95mm-RFID LOGO（ZALA）-损耗1%</t>
  </si>
  <si>
    <t>2025.8.16</t>
  </si>
  <si>
    <t>MP贴纸101.6*38.1mm（热胶）BKSKR24011</t>
  </si>
  <si>
    <t>MP贴纸101.6*38.1mm（热胶）BKSKR24011-损耗1%</t>
  </si>
  <si>
    <t>RBSKNJTD079</t>
  </si>
  <si>
    <t>ACHIOTE 6795-046
BANGLADESH 男上装 翻单1</t>
  </si>
  <si>
    <t>2025.8.18</t>
  </si>
  <si>
    <t>纸板-35*54cm-300g BKOTH25053</t>
  </si>
  <si>
    <t>纸板-35*54cm-300g BKOTH25053-5%损耗</t>
  </si>
  <si>
    <t>孟加拉</t>
  </si>
  <si>
    <t>台账1</t>
  </si>
  <si>
    <t>台账4</t>
  </si>
  <si>
    <t>台账5</t>
  </si>
  <si>
    <t>丢失</t>
  </si>
  <si>
    <t>换挂牌</t>
  </si>
  <si>
    <t>Emily</t>
  </si>
  <si>
    <t>76619
76933
76934
76935</t>
  </si>
  <si>
    <t>RBSKNJTD020</t>
  </si>
  <si>
    <t>MISO 6776-046-600/800
BANGLADESH 男上装 夹克</t>
  </si>
  <si>
    <t>2025.3.27</t>
  </si>
  <si>
    <t>WLBCRFI005 RFID白织标-51*51mm（+2%）</t>
  </si>
  <si>
    <t>白色缎带洗标CLBCGEN003*4页-60*25mm（加页码）</t>
  </si>
  <si>
    <t>77253
77468</t>
  </si>
  <si>
    <t>RBSKNJTD026</t>
  </si>
  <si>
    <t>MISO 6776-046-600/800
BANGLADESH 男上装 夹克 加单</t>
  </si>
  <si>
    <t>2025.4.9</t>
  </si>
  <si>
    <t>纸板-32cm*48cm-300g BKOTH25001</t>
  </si>
  <si>
    <t>17906 17905 17904 18276
15168</t>
  </si>
  <si>
    <t>RBSKNJTD014</t>
  </si>
  <si>
    <t>PINTA 3606-046-800/802
BANGLADESH 男上 背心</t>
  </si>
  <si>
    <t>2025.1.16</t>
  </si>
  <si>
    <t>白色织标WLBCGEN014-51*51mm</t>
  </si>
  <si>
    <t>17904
17905
17906
18276</t>
  </si>
  <si>
    <t>RBSKNJTD016</t>
  </si>
  <si>
    <t>PINTA 3606-046-800/802
BANGLADESH 男上 背心(更新RFID)</t>
  </si>
  <si>
    <t>2025.2.13
2025.2.18</t>
  </si>
  <si>
    <t>WLBCRFI005 RFID白织标-51*51mm-大货样</t>
  </si>
  <si>
    <t>2025.2.18</t>
  </si>
  <si>
    <t>白色缎带洗标CLBCGEN003*5页-60*25mm（只做条码页）</t>
  </si>
  <si>
    <r>
      <rPr>
        <sz val="11"/>
        <rFont val="微软雅黑"/>
        <charset val="134"/>
      </rPr>
      <t>76381</t>
    </r>
    <r>
      <rPr>
        <sz val="11"/>
        <color rgb="FFFF0000"/>
        <rFont val="微软雅黑"/>
        <charset val="134"/>
      </rPr>
      <t xml:space="preserve">
</t>
    </r>
    <r>
      <rPr>
        <sz val="11"/>
        <rFont val="微软雅黑"/>
        <charset val="134"/>
      </rPr>
      <t>76382</t>
    </r>
  </si>
  <si>
    <t>RBSKNJTD017</t>
  </si>
  <si>
    <t>PINTA 3606-046-800/802
BANGLADESH 男上背心 RFID加单1</t>
  </si>
  <si>
    <t>2025.2.22</t>
  </si>
  <si>
    <t>白色吊牌HPBCGEN001-60*95mm-ZALA</t>
  </si>
  <si>
    <t>76321
76414
76516
76517</t>
  </si>
  <si>
    <t>RBSKNJTD018</t>
  </si>
  <si>
    <t>PALOMA 6770-046-800
BANGLADESH 男上装</t>
  </si>
  <si>
    <t>2025.3.28</t>
  </si>
  <si>
    <t>RBSKNJTD019</t>
  </si>
  <si>
    <t>PINTA 3606-046-800/802
BANGLADESH 男上背心 RFID加单2</t>
  </si>
  <si>
    <t>2025.3.20</t>
  </si>
  <si>
    <t>RBSKNJTD021</t>
  </si>
  <si>
    <t>PINTA 3606-046-800/802
BANGLADESH 男上背心 RFID加单3</t>
  </si>
  <si>
    <t>WLBCRFI005 RFID白织标-51*51mm（+1%）</t>
  </si>
  <si>
    <t>WLBCRFI005 RFID白织标-51*51mm-新增</t>
  </si>
  <si>
    <t>76613
76615
76366
76413</t>
  </si>
  <si>
    <t>RBSKNJTD022</t>
  </si>
  <si>
    <t>PALOMATU 6773-777-800
BANGLADESH 男上装</t>
  </si>
  <si>
    <t>77272
77274</t>
  </si>
  <si>
    <t>RBSKNJTD024</t>
  </si>
  <si>
    <t>PALOMA 6770-046-800
BANGLADESH 男上装 翻单1</t>
  </si>
  <si>
    <t>Emily
吊绳单独放</t>
  </si>
  <si>
    <t>77271
77276
77277
77278
77279
77280
77281
77340</t>
  </si>
  <si>
    <t>RBSKNJTD036</t>
  </si>
  <si>
    <t>MISO 5419-046-600/800
BANGLADESH 男下装 裤子 补单</t>
  </si>
  <si>
    <t>2025.4.17</t>
  </si>
  <si>
    <t>白色缎带洗标CLBCGEN003*4页-60*25mm</t>
  </si>
  <si>
    <t>白色RFID织标WLBCRFI015-65*19mm</t>
  </si>
  <si>
    <t>白色RFID织标WLBCRFI015-65*19mm-免费损耗1%</t>
  </si>
  <si>
    <t>白色织标WLBCGEN020(06B）-85*20mm</t>
  </si>
  <si>
    <t>miranda</t>
  </si>
  <si>
    <t>RBSKNJTD012</t>
  </si>
  <si>
    <t>1003-409、415、416、051</t>
  </si>
  <si>
    <t>2024.12.21</t>
  </si>
  <si>
    <t>纸板-24.5cm*34.5cm-300gBKOTH24007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</si>
  <si>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</si>
  <si>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</si>
  <si>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</si>
  <si>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</si>
  <si>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</si>
  <si>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</si>
  <si>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</si>
  <si>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</si>
  <si>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</si>
  <si>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</si>
  <si>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</si>
  <si>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</si>
  <si>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</si>
  <si>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</si>
  <si>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同德</t>
  </si>
  <si>
    <t>佰益进服装南京有限公司</t>
  </si>
  <si>
    <t>纸板</t>
  </si>
  <si>
    <t>按照对账单开</t>
  </si>
  <si>
    <t>个</t>
  </si>
  <si>
    <r>
      <rPr>
        <b/>
        <sz val="16"/>
        <color theme="1"/>
        <rFont val="宋体"/>
        <charset val="134"/>
      </rPr>
      <t>同德</t>
    </r>
    <r>
      <rPr>
        <b/>
        <sz val="16"/>
        <color theme="1"/>
        <rFont val="Arial"/>
        <charset val="134"/>
      </rPr>
      <t>2024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</si>
  <si>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r>
      <rPr>
        <sz val="10"/>
        <rFont val="宋体"/>
        <charset val="134"/>
      </rPr>
      <t>下单时间</t>
    </r>
  </si>
  <si>
    <r>
      <rPr>
        <sz val="10"/>
        <rFont val="宋体"/>
        <charset val="134"/>
      </rPr>
      <t>客户联系人</t>
    </r>
  </si>
  <si>
    <r>
      <rPr>
        <sz val="10"/>
        <rFont val="Arial"/>
        <charset val="134"/>
      </rPr>
      <t>PO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</si>
  <si>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</si>
  <si>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</si>
  <si>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</si>
  <si>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</si>
  <si>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t>43343
43344
43348
43350</t>
  </si>
  <si>
    <t>RBSKNJTD001</t>
  </si>
  <si>
    <t>1364-046-505
Cambodia 男上</t>
  </si>
  <si>
    <t>白色织标WLBCGEN017-65*19mm</t>
  </si>
  <si>
    <t>白色缎带洗标CLBCGEN003*4页-63*25mm</t>
  </si>
  <si>
    <t>BKKBXM24002 空白标（63*25mm）</t>
  </si>
  <si>
    <t>纸板-25cm*35cm-300g</t>
  </si>
  <si>
    <t>价格贴：红 BKSKR24002 蓝 BKSKR24001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</si>
</sst>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0.00_ "/>
    <numFmt numFmtId="180" formatCode="0_ "/>
    <numFmt numFmtId="181" formatCode="0.000_);[Red]\(0.000\)"/>
    <numFmt numFmtId="182" formatCode="0.0000_);[Red]\(0.0000\)"/>
  </numFmts>
  <fonts count="4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微软雅黑"/>
      <charset val="134"/>
    </font>
    <font>
      <b/>
      <u/>
      <sz val="11"/>
      <name val="微软雅黑"/>
      <charset val="134"/>
    </font>
    <font>
      <sz val="11"/>
      <name val="微软雅黑"/>
      <charset val="134"/>
    </font>
    <font>
      <sz val="14"/>
      <color theme="1"/>
      <name val="宋体"/>
      <charset val="134"/>
      <scheme val="minor"/>
    </font>
    <font>
      <b/>
      <u/>
      <sz val="11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1"/>
      <color theme="1"/>
      <name val="等线"/>
      <charset val="134"/>
    </font>
    <font>
      <b/>
      <sz val="11"/>
      <name val="微软雅黑"/>
      <charset val="134"/>
    </font>
    <font>
      <sz val="11"/>
      <color rgb="FFFF0000"/>
      <name val="微软雅黑"/>
      <charset val="134"/>
    </font>
    <font>
      <b/>
      <sz val="11"/>
      <color theme="1"/>
      <name val="微软雅黑"/>
      <charset val="134"/>
    </font>
    <font>
      <sz val="11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color rgb="FFFF0000"/>
      <name val="微软雅黑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8" borderId="14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9" borderId="17" applyNumberFormat="0" applyAlignment="0" applyProtection="0">
      <alignment vertical="center"/>
    </xf>
    <xf numFmtId="0" fontId="32" fillId="10" borderId="18" applyNumberFormat="0" applyAlignment="0" applyProtection="0">
      <alignment vertical="center"/>
    </xf>
    <xf numFmtId="0" fontId="33" fillId="10" borderId="17" applyNumberFormat="0" applyAlignment="0" applyProtection="0">
      <alignment vertical="center"/>
    </xf>
    <xf numFmtId="0" fontId="34" fillId="11" borderId="19" applyNumberFormat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2" fillId="0" borderId="0">
      <alignment horizontal="center" vertical="center"/>
    </xf>
    <xf numFmtId="0" fontId="43" fillId="0" borderId="0">
      <alignment horizontal="center" vertical="center"/>
    </xf>
    <xf numFmtId="0" fontId="43" fillId="0" borderId="0">
      <alignment horizontal="center" vertical="center"/>
    </xf>
    <xf numFmtId="0" fontId="44" fillId="0" borderId="0">
      <alignment vertical="center"/>
    </xf>
    <xf numFmtId="0" fontId="0" fillId="0" borderId="0">
      <alignment vertical="center"/>
    </xf>
    <xf numFmtId="0" fontId="43" fillId="0" borderId="0">
      <alignment horizontal="center" vertical="center"/>
    </xf>
  </cellStyleXfs>
  <cellXfs count="15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6" fillId="2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>
      <alignment vertical="center"/>
    </xf>
    <xf numFmtId="178" fontId="4" fillId="0" borderId="1" xfId="0" applyNumberFormat="1" applyFont="1" applyFill="1" applyBorder="1" applyAlignment="1">
      <alignment horizontal="center" vertical="center"/>
    </xf>
    <xf numFmtId="179" fontId="9" fillId="0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4" fontId="6" fillId="0" borderId="6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14" fontId="0" fillId="0" borderId="0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4" fontId="6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58" fontId="13" fillId="0" borderId="7" xfId="0" applyNumberFormat="1" applyFont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/>
    </xf>
    <xf numFmtId="8" fontId="15" fillId="0" borderId="7" xfId="0" applyNumberFormat="1" applyFont="1" applyBorder="1" applyAlignment="1">
      <alignment horizontal="center" vertical="center" wrapText="1"/>
    </xf>
    <xf numFmtId="14" fontId="6" fillId="0" borderId="8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4" fontId="6" fillId="0" borderId="5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14" fontId="0" fillId="0" borderId="3" xfId="0" applyNumberFormat="1" applyFont="1" applyFill="1" applyBorder="1" applyAlignment="1">
      <alignment horizontal="center" vertical="center" wrapText="1"/>
    </xf>
    <xf numFmtId="14" fontId="0" fillId="0" borderId="5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80" fontId="8" fillId="0" borderId="2" xfId="0" applyNumberFormat="1" applyFont="1" applyFill="1" applyBorder="1" applyAlignment="1">
      <alignment horizontal="center" vertical="center"/>
    </xf>
    <xf numFmtId="14" fontId="19" fillId="0" borderId="1" xfId="0" applyNumberFormat="1" applyFont="1" applyFill="1" applyBorder="1" applyAlignment="1">
      <alignment horizontal="center" vertical="center" wrapText="1"/>
    </xf>
    <xf numFmtId="182" fontId="8" fillId="0" borderId="1" xfId="0" applyNumberFormat="1" applyFont="1" applyFill="1" applyBorder="1" applyAlignment="1">
      <alignment horizontal="center" vertical="center"/>
    </xf>
    <xf numFmtId="182" fontId="6" fillId="0" borderId="1" xfId="0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180" fontId="8" fillId="0" borderId="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4" fontId="17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14" fontId="22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14" fontId="18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9" fontId="18" fillId="0" borderId="0" xfId="0" applyNumberFormat="1" applyFont="1" applyAlignment="1">
      <alignment horizontal="center" vertical="center"/>
    </xf>
    <xf numFmtId="0" fontId="19" fillId="0" borderId="0" xfId="0" applyFont="1" applyFill="1">
      <alignment vertical="center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80" fontId="8" fillId="5" borderId="2" xfId="0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14" fontId="6" fillId="0" borderId="5" xfId="0" applyNumberFormat="1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14" fontId="18" fillId="6" borderId="1" xfId="0" applyNumberFormat="1" applyFont="1" applyFill="1" applyBorder="1" applyAlignment="1">
      <alignment horizontal="center" vertical="center" wrapText="1"/>
    </xf>
    <xf numFmtId="14" fontId="6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14" fontId="6" fillId="6" borderId="2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" xfId="0" applyBorder="1">
      <alignment vertical="center"/>
    </xf>
    <xf numFmtId="0" fontId="8" fillId="6" borderId="1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 wrapText="1"/>
    </xf>
    <xf numFmtId="0" fontId="6" fillId="4" borderId="1" xfId="0" applyNumberFormat="1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80" fontId="6" fillId="2" borderId="1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14" fontId="6" fillId="7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232410</xdr:colOff>
      <xdr:row>31</xdr:row>
      <xdr:rowOff>84455</xdr:rowOff>
    </xdr:from>
    <xdr:to>
      <xdr:col>10</xdr:col>
      <xdr:colOff>5412105</xdr:colOff>
      <xdr:row>35</xdr:row>
      <xdr:rowOff>341630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14145" y="8447405"/>
          <a:ext cx="5179695" cy="1095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53975</xdr:colOff>
      <xdr:row>17</xdr:row>
      <xdr:rowOff>190500</xdr:rowOff>
    </xdr:from>
    <xdr:to>
      <xdr:col>10</xdr:col>
      <xdr:colOff>5547995</xdr:colOff>
      <xdr:row>22</xdr:row>
      <xdr:rowOff>193675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935710" y="5619750"/>
          <a:ext cx="5494020" cy="1050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120650</xdr:colOff>
      <xdr:row>24</xdr:row>
      <xdr:rowOff>130810</xdr:rowOff>
    </xdr:from>
    <xdr:to>
      <xdr:col>10</xdr:col>
      <xdr:colOff>5299710</xdr:colOff>
      <xdr:row>29</xdr:row>
      <xdr:rowOff>84455</xdr:rowOff>
    </xdr:to>
    <xdr:pic>
      <xdr:nvPicPr>
        <xdr:cNvPr id="6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002385" y="7026910"/>
          <a:ext cx="5179060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187325</xdr:colOff>
      <xdr:row>44</xdr:row>
      <xdr:rowOff>66675</xdr:rowOff>
    </xdr:from>
    <xdr:to>
      <xdr:col>10</xdr:col>
      <xdr:colOff>5141595</xdr:colOff>
      <xdr:row>48</xdr:row>
      <xdr:rowOff>156210</xdr:rowOff>
    </xdr:to>
    <xdr:pic>
      <xdr:nvPicPr>
        <xdr:cNvPr id="7" name="图片 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4069060" y="11363325"/>
          <a:ext cx="4954270" cy="927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105410</xdr:colOff>
      <xdr:row>50</xdr:row>
      <xdr:rowOff>144145</xdr:rowOff>
    </xdr:from>
    <xdr:to>
      <xdr:col>10</xdr:col>
      <xdr:colOff>5655945</xdr:colOff>
      <xdr:row>52</xdr:row>
      <xdr:rowOff>12065</xdr:rowOff>
    </xdr:to>
    <xdr:pic>
      <xdr:nvPicPr>
        <xdr:cNvPr id="8" name="图片 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987145" y="12698095"/>
          <a:ext cx="5550535" cy="287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243205</xdr:colOff>
      <xdr:row>8</xdr:row>
      <xdr:rowOff>100965</xdr:rowOff>
    </xdr:from>
    <xdr:to>
      <xdr:col>10</xdr:col>
      <xdr:colOff>5741670</xdr:colOff>
      <xdr:row>12</xdr:row>
      <xdr:rowOff>242570</xdr:rowOff>
    </xdr:to>
    <xdr:pic>
      <xdr:nvPicPr>
        <xdr:cNvPr id="10" name="图片 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124940" y="1999615"/>
          <a:ext cx="5498465" cy="15068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view="pageBreakPreview" zoomScale="80" zoomScaleNormal="100" topLeftCell="C4" workbookViewId="0">
      <selection activeCell="L11" sqref="L11:M12"/>
    </sheetView>
  </sheetViews>
  <sheetFormatPr defaultColWidth="8.71818181818182" defaultRowHeight="14"/>
  <cols>
    <col min="1" max="1" width="16" style="1" customWidth="1"/>
    <col min="2" max="2" width="13" style="1" customWidth="1"/>
    <col min="3" max="3" width="9.09090909090909" style="1" customWidth="1"/>
    <col min="4" max="4" width="19.3727272727273" style="1" customWidth="1"/>
    <col min="5" max="11" width="24.8181818181818" style="1" customWidth="1"/>
    <col min="12" max="12" width="49.6272727272727" style="1" customWidth="1"/>
    <col min="13" max="13" width="12.9090909090909" style="1" customWidth="1"/>
    <col min="14" max="14" width="11.5454545454545" style="1" customWidth="1"/>
    <col min="15" max="15" width="15.0909090909091" style="1" customWidth="1"/>
    <col min="16" max="16" width="23" style="1" customWidth="1"/>
    <col min="17" max="16384" width="8.71818181818182" style="1"/>
  </cols>
  <sheetData>
    <row r="1" ht="21" spans="1:15">
      <c r="A1" s="2" t="s">
        <v>0</v>
      </c>
      <c r="B1" s="3"/>
      <c r="C1" s="3"/>
      <c r="D1" s="4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7" t="s">
        <v>12</v>
      </c>
      <c r="M2" s="8" t="s">
        <v>13</v>
      </c>
      <c r="N2" s="9" t="s">
        <v>10</v>
      </c>
      <c r="O2" s="22" t="s">
        <v>14</v>
      </c>
    </row>
    <row r="3" ht="16.5" spans="1:15">
      <c r="A3" s="142">
        <v>45439</v>
      </c>
      <c r="B3" s="14" t="s">
        <v>15</v>
      </c>
      <c r="C3" s="143">
        <v>54401</v>
      </c>
      <c r="D3" s="144" t="s">
        <v>16</v>
      </c>
      <c r="E3" s="143" t="s">
        <v>17</v>
      </c>
      <c r="F3" s="143" t="s">
        <v>18</v>
      </c>
      <c r="G3" s="145">
        <v>10500</v>
      </c>
      <c r="H3" s="145">
        <f t="shared" ref="H3:H32" si="0">G3-I3</f>
        <v>500</v>
      </c>
      <c r="I3" s="143">
        <v>10000</v>
      </c>
      <c r="J3" s="19">
        <v>0.368</v>
      </c>
      <c r="K3" s="152">
        <f t="shared" ref="K3:K35" si="1">I3*J3</f>
        <v>3680</v>
      </c>
      <c r="L3" s="11" t="s">
        <v>19</v>
      </c>
      <c r="M3" s="19">
        <v>21028</v>
      </c>
      <c r="N3" s="19">
        <v>0.368</v>
      </c>
      <c r="O3" s="19">
        <v>7738.304</v>
      </c>
    </row>
    <row r="4" ht="16.5" spans="1:15">
      <c r="A4" s="142"/>
      <c r="B4" s="14"/>
      <c r="C4" s="143"/>
      <c r="D4" s="144"/>
      <c r="E4" s="143"/>
      <c r="F4" s="146">
        <v>45476</v>
      </c>
      <c r="G4" s="145">
        <v>11582</v>
      </c>
      <c r="H4" s="145">
        <f t="shared" si="0"/>
        <v>554</v>
      </c>
      <c r="I4" s="143">
        <v>11028</v>
      </c>
      <c r="J4" s="19">
        <v>0.368</v>
      </c>
      <c r="K4" s="152">
        <f t="shared" si="1"/>
        <v>4058.304</v>
      </c>
      <c r="L4" s="153"/>
      <c r="M4" s="19"/>
      <c r="N4" s="19"/>
      <c r="O4" s="19"/>
    </row>
    <row r="5" ht="16.5" spans="1:15">
      <c r="A5" s="142"/>
      <c r="B5" s="14"/>
      <c r="C5" s="143"/>
      <c r="D5" s="144"/>
      <c r="E5" s="143"/>
      <c r="F5" s="143" t="s">
        <v>18</v>
      </c>
      <c r="G5" s="145">
        <v>10500</v>
      </c>
      <c r="H5" s="145">
        <f t="shared" si="0"/>
        <v>500</v>
      </c>
      <c r="I5" s="143">
        <v>10000</v>
      </c>
      <c r="J5" s="14">
        <f>0.042*8</f>
        <v>0.336</v>
      </c>
      <c r="K5" s="152">
        <f t="shared" si="1"/>
        <v>3360</v>
      </c>
      <c r="L5" s="152" t="s">
        <v>20</v>
      </c>
      <c r="M5" s="19">
        <v>21028</v>
      </c>
      <c r="N5" s="14">
        <f>0.042*8</f>
        <v>0.336</v>
      </c>
      <c r="O5" s="19">
        <v>7065.408</v>
      </c>
    </row>
    <row r="6" ht="16" customHeight="1" spans="1:15">
      <c r="A6" s="142"/>
      <c r="B6" s="14"/>
      <c r="C6" s="143"/>
      <c r="D6" s="144"/>
      <c r="E6" s="143"/>
      <c r="F6" s="146">
        <v>45476</v>
      </c>
      <c r="G6" s="145">
        <v>11583</v>
      </c>
      <c r="H6" s="145">
        <f t="shared" si="0"/>
        <v>555</v>
      </c>
      <c r="I6" s="143">
        <v>11028</v>
      </c>
      <c r="J6" s="14">
        <f>0.042*8</f>
        <v>0.336</v>
      </c>
      <c r="K6" s="152">
        <f t="shared" si="1"/>
        <v>3705.408</v>
      </c>
      <c r="L6" s="154"/>
      <c r="M6" s="19"/>
      <c r="N6" s="19"/>
      <c r="O6" s="19"/>
    </row>
    <row r="7" ht="16" customHeight="1" spans="1:15">
      <c r="A7" s="142"/>
      <c r="B7" s="14"/>
      <c r="C7" s="143"/>
      <c r="D7" s="144"/>
      <c r="E7" s="143"/>
      <c r="F7" s="146">
        <v>45476</v>
      </c>
      <c r="G7" s="145">
        <v>22079.4</v>
      </c>
      <c r="H7" s="145">
        <f t="shared" si="0"/>
        <v>1051.4</v>
      </c>
      <c r="I7" s="143">
        <v>21028</v>
      </c>
      <c r="J7" s="19">
        <v>0.294</v>
      </c>
      <c r="K7" s="152">
        <f t="shared" si="1"/>
        <v>6182.232</v>
      </c>
      <c r="L7" s="19" t="s">
        <v>21</v>
      </c>
      <c r="M7" s="19">
        <v>21028</v>
      </c>
      <c r="N7" s="19">
        <v>0.294</v>
      </c>
      <c r="O7" s="19">
        <v>6182.232</v>
      </c>
    </row>
    <row r="8" ht="16" customHeight="1" spans="1:15">
      <c r="A8" s="142"/>
      <c r="B8" s="14"/>
      <c r="C8" s="143"/>
      <c r="D8" s="144"/>
      <c r="E8" s="143"/>
      <c r="F8" s="146">
        <v>45476</v>
      </c>
      <c r="G8" s="145">
        <v>22079.4</v>
      </c>
      <c r="H8" s="145">
        <f t="shared" si="0"/>
        <v>1051.4</v>
      </c>
      <c r="I8" s="143">
        <v>21028</v>
      </c>
      <c r="J8" s="19">
        <v>0.116</v>
      </c>
      <c r="K8" s="152">
        <f t="shared" si="1"/>
        <v>2439.248</v>
      </c>
      <c r="L8" s="19" t="s">
        <v>22</v>
      </c>
      <c r="M8" s="19">
        <v>21028</v>
      </c>
      <c r="N8" s="19">
        <v>0.116</v>
      </c>
      <c r="O8" s="19">
        <v>2439.248</v>
      </c>
    </row>
    <row r="9" ht="16.5" spans="1:15">
      <c r="A9" s="142">
        <v>45439</v>
      </c>
      <c r="B9" s="14" t="s">
        <v>15</v>
      </c>
      <c r="C9" s="143">
        <v>54404</v>
      </c>
      <c r="D9" s="144" t="s">
        <v>23</v>
      </c>
      <c r="E9" s="143" t="s">
        <v>24</v>
      </c>
      <c r="F9" s="146">
        <v>45470</v>
      </c>
      <c r="G9" s="145">
        <f>I9*1.05</f>
        <v>31500</v>
      </c>
      <c r="H9" s="145">
        <f t="shared" si="0"/>
        <v>1500</v>
      </c>
      <c r="I9" s="143">
        <v>30000</v>
      </c>
      <c r="J9" s="19">
        <v>0.368</v>
      </c>
      <c r="K9" s="152">
        <f t="shared" si="1"/>
        <v>11040</v>
      </c>
      <c r="L9" s="11" t="s">
        <v>19</v>
      </c>
      <c r="M9" s="19">
        <v>31526</v>
      </c>
      <c r="N9" s="19">
        <v>0.368</v>
      </c>
      <c r="O9" s="19">
        <v>11601.568</v>
      </c>
    </row>
    <row r="10" ht="16.5" spans="1:15">
      <c r="A10" s="142"/>
      <c r="B10" s="14"/>
      <c r="C10" s="143"/>
      <c r="D10" s="144"/>
      <c r="E10" s="143"/>
      <c r="F10" s="146">
        <v>45476</v>
      </c>
      <c r="G10" s="145">
        <v>1605</v>
      </c>
      <c r="H10" s="145">
        <f t="shared" si="0"/>
        <v>79</v>
      </c>
      <c r="I10" s="143">
        <v>1526</v>
      </c>
      <c r="J10" s="19">
        <v>0.368</v>
      </c>
      <c r="K10" s="152">
        <f t="shared" si="1"/>
        <v>561.568</v>
      </c>
      <c r="L10" s="153"/>
      <c r="M10" s="19"/>
      <c r="N10" s="14"/>
      <c r="O10" s="19"/>
    </row>
    <row r="11" ht="16.5" spans="1:15">
      <c r="A11" s="142"/>
      <c r="B11" s="14"/>
      <c r="C11" s="143"/>
      <c r="D11" s="144"/>
      <c r="E11" s="143"/>
      <c r="F11" s="146">
        <v>45470</v>
      </c>
      <c r="G11" s="145">
        <f>I11*1.05</f>
        <v>31500</v>
      </c>
      <c r="H11" s="145">
        <f t="shared" si="0"/>
        <v>1500</v>
      </c>
      <c r="I11" s="143">
        <v>30000</v>
      </c>
      <c r="J11" s="14">
        <f>0.042*6</f>
        <v>0.252</v>
      </c>
      <c r="K11" s="152">
        <f t="shared" si="1"/>
        <v>7560</v>
      </c>
      <c r="L11" s="152" t="s">
        <v>25</v>
      </c>
      <c r="M11" s="19">
        <f>189156/6</f>
        <v>31526</v>
      </c>
      <c r="N11" s="14">
        <f>0.042*6</f>
        <v>0.252</v>
      </c>
      <c r="O11" s="19">
        <v>7944.552</v>
      </c>
    </row>
    <row r="12" ht="16" customHeight="1" spans="1:15">
      <c r="A12" s="142"/>
      <c r="B12" s="14"/>
      <c r="C12" s="143"/>
      <c r="D12" s="144"/>
      <c r="E12" s="143"/>
      <c r="F12" s="146">
        <v>45476</v>
      </c>
      <c r="G12" s="145">
        <v>1607</v>
      </c>
      <c r="H12" s="145">
        <f t="shared" si="0"/>
        <v>81</v>
      </c>
      <c r="I12" s="143">
        <v>1526</v>
      </c>
      <c r="J12" s="14">
        <f>0.042*6</f>
        <v>0.252</v>
      </c>
      <c r="K12" s="152">
        <f t="shared" si="1"/>
        <v>384.552</v>
      </c>
      <c r="L12" s="154"/>
      <c r="M12" s="19"/>
      <c r="N12" s="19"/>
      <c r="O12" s="19"/>
    </row>
    <row r="13" ht="16" customHeight="1" spans="1:15">
      <c r="A13" s="142"/>
      <c r="B13" s="14"/>
      <c r="C13" s="143"/>
      <c r="D13" s="144"/>
      <c r="E13" s="143"/>
      <c r="F13" s="146">
        <v>45476</v>
      </c>
      <c r="G13" s="145">
        <v>33102</v>
      </c>
      <c r="H13" s="145">
        <f t="shared" si="0"/>
        <v>1576</v>
      </c>
      <c r="I13" s="143">
        <v>31526</v>
      </c>
      <c r="J13" s="19">
        <v>0.294</v>
      </c>
      <c r="K13" s="152">
        <f t="shared" si="1"/>
        <v>9268.644</v>
      </c>
      <c r="L13" s="19" t="s">
        <v>21</v>
      </c>
      <c r="M13" s="19">
        <v>31526</v>
      </c>
      <c r="N13" s="19">
        <v>0.294</v>
      </c>
      <c r="O13" s="19">
        <v>9268.644</v>
      </c>
    </row>
    <row r="14" ht="16" customHeight="1" spans="1:15">
      <c r="A14" s="142"/>
      <c r="B14" s="14"/>
      <c r="C14" s="143"/>
      <c r="D14" s="144"/>
      <c r="E14" s="143"/>
      <c r="F14" s="146">
        <v>45476</v>
      </c>
      <c r="G14" s="145">
        <v>33102</v>
      </c>
      <c r="H14" s="145">
        <f t="shared" si="0"/>
        <v>1576</v>
      </c>
      <c r="I14" s="143">
        <v>31526</v>
      </c>
      <c r="J14" s="19">
        <v>0.116</v>
      </c>
      <c r="K14" s="152">
        <f t="shared" si="1"/>
        <v>3657.016</v>
      </c>
      <c r="L14" s="19" t="s">
        <v>22</v>
      </c>
      <c r="M14" s="19">
        <v>31526</v>
      </c>
      <c r="N14" s="19">
        <v>0.116</v>
      </c>
      <c r="O14" s="19">
        <v>3657.016</v>
      </c>
    </row>
    <row r="15" ht="32" customHeight="1" spans="1:15">
      <c r="A15" s="142">
        <v>45477</v>
      </c>
      <c r="B15" s="14" t="s">
        <v>26</v>
      </c>
      <c r="C15" s="143">
        <v>58394</v>
      </c>
      <c r="D15" s="144" t="s">
        <v>27</v>
      </c>
      <c r="E15" s="143" t="s">
        <v>28</v>
      </c>
      <c r="F15" s="146">
        <v>45484</v>
      </c>
      <c r="G15" s="145">
        <f>I15*1.05</f>
        <v>771.75</v>
      </c>
      <c r="H15" s="145">
        <f t="shared" si="0"/>
        <v>36.75</v>
      </c>
      <c r="I15" s="143">
        <v>735</v>
      </c>
      <c r="J15" s="19">
        <v>0.254</v>
      </c>
      <c r="K15" s="152">
        <f t="shared" si="1"/>
        <v>186.69</v>
      </c>
      <c r="L15" s="19" t="s">
        <v>29</v>
      </c>
      <c r="M15" s="19">
        <v>735</v>
      </c>
      <c r="N15" s="19">
        <v>0.254</v>
      </c>
      <c r="O15" s="19">
        <v>186.69</v>
      </c>
    </row>
    <row r="16" ht="32" customHeight="1" spans="1:15">
      <c r="A16" s="142"/>
      <c r="B16" s="14"/>
      <c r="C16" s="143"/>
      <c r="D16" s="144"/>
      <c r="E16" s="143"/>
      <c r="F16" s="146">
        <v>45484</v>
      </c>
      <c r="G16" s="145">
        <f>I16*1.05</f>
        <v>771.75</v>
      </c>
      <c r="H16" s="145">
        <f t="shared" si="0"/>
        <v>36.75</v>
      </c>
      <c r="I16" s="143">
        <v>735</v>
      </c>
      <c r="J16" s="19">
        <v>0.15</v>
      </c>
      <c r="K16" s="152">
        <f t="shared" si="1"/>
        <v>110.25</v>
      </c>
      <c r="L16" s="19" t="s">
        <v>30</v>
      </c>
      <c r="M16" s="19">
        <v>735</v>
      </c>
      <c r="N16" s="19">
        <v>0.15</v>
      </c>
      <c r="O16" s="19">
        <v>110.25</v>
      </c>
    </row>
    <row r="17" ht="32" customHeight="1" spans="1:15">
      <c r="A17" s="142"/>
      <c r="B17" s="14"/>
      <c r="C17" s="143"/>
      <c r="D17" s="144"/>
      <c r="E17" s="143"/>
      <c r="F17" s="146">
        <v>45484</v>
      </c>
      <c r="G17" s="145">
        <v>2200</v>
      </c>
      <c r="H17" s="145">
        <f t="shared" si="0"/>
        <v>100</v>
      </c>
      <c r="I17" s="143">
        <v>2100</v>
      </c>
      <c r="J17" s="19">
        <v>0.12</v>
      </c>
      <c r="K17" s="152">
        <f t="shared" si="1"/>
        <v>252</v>
      </c>
      <c r="L17" s="152" t="s">
        <v>31</v>
      </c>
      <c r="M17" s="19"/>
      <c r="N17" s="19"/>
      <c r="O17" s="19"/>
    </row>
    <row r="18" ht="32" customHeight="1" spans="1:15">
      <c r="A18" s="142"/>
      <c r="B18" s="14"/>
      <c r="C18" s="143"/>
      <c r="D18" s="144"/>
      <c r="E18" s="143"/>
      <c r="F18" s="146">
        <v>45485</v>
      </c>
      <c r="G18" s="145">
        <v>30500</v>
      </c>
      <c r="H18" s="145">
        <f t="shared" si="0"/>
        <v>8</v>
      </c>
      <c r="I18" s="143">
        <v>30492</v>
      </c>
      <c r="J18" s="19">
        <v>0.12</v>
      </c>
      <c r="K18" s="152">
        <f t="shared" si="1"/>
        <v>3659.04</v>
      </c>
      <c r="L18" s="154"/>
      <c r="M18" s="19">
        <v>32592</v>
      </c>
      <c r="N18" s="19">
        <v>0.12</v>
      </c>
      <c r="O18" s="19">
        <v>3911.04</v>
      </c>
    </row>
    <row r="19" ht="16" customHeight="1" spans="1:15">
      <c r="A19" s="10">
        <v>45477</v>
      </c>
      <c r="B19" s="11" t="s">
        <v>26</v>
      </c>
      <c r="C19" s="12">
        <v>58401</v>
      </c>
      <c r="D19" s="13" t="s">
        <v>32</v>
      </c>
      <c r="E19" s="12" t="s">
        <v>33</v>
      </c>
      <c r="F19" s="147">
        <v>45484</v>
      </c>
      <c r="G19" s="145">
        <v>561</v>
      </c>
      <c r="H19" s="145">
        <f t="shared" si="0"/>
        <v>26</v>
      </c>
      <c r="I19" s="12">
        <v>535</v>
      </c>
      <c r="J19" s="19">
        <v>0.254</v>
      </c>
      <c r="K19" s="152">
        <f t="shared" si="1"/>
        <v>135.89</v>
      </c>
      <c r="L19" s="19" t="s">
        <v>29</v>
      </c>
      <c r="M19" s="19">
        <v>535</v>
      </c>
      <c r="N19" s="19">
        <v>0.254</v>
      </c>
      <c r="O19" s="19">
        <v>135.89</v>
      </c>
    </row>
    <row r="20" ht="16" customHeight="1" spans="1:15">
      <c r="A20" s="15"/>
      <c r="B20" s="16"/>
      <c r="C20" s="17"/>
      <c r="D20" s="18"/>
      <c r="E20" s="17"/>
      <c r="F20" s="147">
        <v>45484</v>
      </c>
      <c r="G20" s="145">
        <v>561</v>
      </c>
      <c r="H20" s="145">
        <f t="shared" si="0"/>
        <v>26</v>
      </c>
      <c r="I20" s="12">
        <v>535</v>
      </c>
      <c r="J20" s="19">
        <v>0.15</v>
      </c>
      <c r="K20" s="152">
        <f t="shared" si="1"/>
        <v>80.25</v>
      </c>
      <c r="L20" s="19" t="s">
        <v>30</v>
      </c>
      <c r="M20" s="19">
        <v>535</v>
      </c>
      <c r="N20" s="19">
        <v>0.15</v>
      </c>
      <c r="O20" s="19">
        <v>80.25</v>
      </c>
    </row>
    <row r="21" ht="16" customHeight="1" spans="1:15">
      <c r="A21" s="142">
        <v>45483</v>
      </c>
      <c r="B21" s="14" t="s">
        <v>26</v>
      </c>
      <c r="C21" s="143" t="s">
        <v>34</v>
      </c>
      <c r="D21" s="144" t="s">
        <v>35</v>
      </c>
      <c r="E21" s="143" t="s">
        <v>36</v>
      </c>
      <c r="F21" s="146">
        <v>45491</v>
      </c>
      <c r="G21" s="145">
        <f t="shared" ref="G21:G32" si="2">I21*1.05</f>
        <v>25213.65</v>
      </c>
      <c r="H21" s="145">
        <f t="shared" si="0"/>
        <v>1200.65</v>
      </c>
      <c r="I21" s="12">
        <v>24013</v>
      </c>
      <c r="J21" s="19">
        <v>0.368</v>
      </c>
      <c r="K21" s="152">
        <f t="shared" si="1"/>
        <v>8836.784</v>
      </c>
      <c r="L21" s="19" t="s">
        <v>37</v>
      </c>
      <c r="M21" s="19">
        <v>24013</v>
      </c>
      <c r="N21" s="19">
        <v>0.368</v>
      </c>
      <c r="O21" s="19">
        <v>8836.784</v>
      </c>
    </row>
    <row r="22" ht="16" customHeight="1" spans="1:15">
      <c r="A22" s="142"/>
      <c r="B22" s="14"/>
      <c r="C22" s="143"/>
      <c r="D22" s="144"/>
      <c r="E22" s="143"/>
      <c r="F22" s="146">
        <v>45491</v>
      </c>
      <c r="G22" s="145">
        <f t="shared" si="2"/>
        <v>25213.65</v>
      </c>
      <c r="H22" s="145">
        <f t="shared" si="0"/>
        <v>1200.65</v>
      </c>
      <c r="I22" s="12">
        <v>24013</v>
      </c>
      <c r="J22" s="14">
        <f>0.042*7</f>
        <v>0.294</v>
      </c>
      <c r="K22" s="152">
        <f t="shared" si="1"/>
        <v>7059.822</v>
      </c>
      <c r="L22" s="19" t="s">
        <v>38</v>
      </c>
      <c r="M22" s="19">
        <f>168091/7</f>
        <v>24013</v>
      </c>
      <c r="N22" s="14">
        <f>0.042*7</f>
        <v>0.294</v>
      </c>
      <c r="O22" s="19">
        <v>7059.822</v>
      </c>
    </row>
    <row r="23" ht="16" customHeight="1" spans="1:15">
      <c r="A23" s="142"/>
      <c r="B23" s="14"/>
      <c r="C23" s="143"/>
      <c r="D23" s="144"/>
      <c r="E23" s="143"/>
      <c r="F23" s="146">
        <v>45491</v>
      </c>
      <c r="G23" s="145">
        <f t="shared" si="2"/>
        <v>25213.65</v>
      </c>
      <c r="H23" s="145">
        <f t="shared" si="0"/>
        <v>1200.65</v>
      </c>
      <c r="I23" s="12">
        <v>24013</v>
      </c>
      <c r="J23" s="19">
        <v>0.294</v>
      </c>
      <c r="K23" s="152">
        <f t="shared" si="1"/>
        <v>7059.822</v>
      </c>
      <c r="L23" s="19" t="s">
        <v>21</v>
      </c>
      <c r="M23" s="19">
        <v>24013</v>
      </c>
      <c r="N23" s="19">
        <v>0.294</v>
      </c>
      <c r="O23" s="19">
        <v>7059.822</v>
      </c>
    </row>
    <row r="24" ht="16" customHeight="1" spans="1:15">
      <c r="A24" s="142"/>
      <c r="B24" s="14"/>
      <c r="C24" s="143"/>
      <c r="D24" s="144"/>
      <c r="E24" s="143"/>
      <c r="F24" s="146">
        <v>45491</v>
      </c>
      <c r="G24" s="145">
        <f t="shared" si="2"/>
        <v>25213.65</v>
      </c>
      <c r="H24" s="145">
        <f t="shared" si="0"/>
        <v>1200.65</v>
      </c>
      <c r="I24" s="12">
        <v>24013</v>
      </c>
      <c r="J24" s="19">
        <v>0.116</v>
      </c>
      <c r="K24" s="152">
        <f t="shared" si="1"/>
        <v>2785.508</v>
      </c>
      <c r="L24" s="19" t="s">
        <v>22</v>
      </c>
      <c r="M24" s="19">
        <v>24013</v>
      </c>
      <c r="N24" s="19">
        <v>0.116</v>
      </c>
      <c r="O24" s="19">
        <v>2785.508</v>
      </c>
    </row>
    <row r="25" ht="16" customHeight="1" spans="1:15">
      <c r="A25" s="142">
        <v>45492</v>
      </c>
      <c r="B25" s="14" t="s">
        <v>39</v>
      </c>
      <c r="C25" s="143" t="s">
        <v>40</v>
      </c>
      <c r="D25" s="144" t="s">
        <v>41</v>
      </c>
      <c r="E25" s="143" t="s">
        <v>42</v>
      </c>
      <c r="F25" s="146">
        <v>45503</v>
      </c>
      <c r="G25" s="145">
        <f t="shared" si="2"/>
        <v>10500</v>
      </c>
      <c r="H25" s="145">
        <f t="shared" si="0"/>
        <v>500</v>
      </c>
      <c r="I25" s="12">
        <v>10000</v>
      </c>
      <c r="J25" s="19">
        <v>0.368</v>
      </c>
      <c r="K25" s="152">
        <f t="shared" si="1"/>
        <v>3680</v>
      </c>
      <c r="L25" s="19" t="s">
        <v>37</v>
      </c>
      <c r="M25" s="19">
        <v>10000</v>
      </c>
      <c r="N25" s="19">
        <v>0.368</v>
      </c>
      <c r="O25" s="19">
        <v>3680</v>
      </c>
    </row>
    <row r="26" ht="16" customHeight="1" spans="1:15">
      <c r="A26" s="142"/>
      <c r="B26" s="14"/>
      <c r="C26" s="143"/>
      <c r="D26" s="144"/>
      <c r="E26" s="143"/>
      <c r="F26" s="146">
        <v>45503</v>
      </c>
      <c r="G26" s="145">
        <f t="shared" si="2"/>
        <v>10500</v>
      </c>
      <c r="H26" s="145">
        <f t="shared" si="0"/>
        <v>500</v>
      </c>
      <c r="I26" s="12">
        <v>10000</v>
      </c>
      <c r="J26" s="14">
        <f>0.042*7</f>
        <v>0.294</v>
      </c>
      <c r="K26" s="152">
        <f t="shared" si="1"/>
        <v>2940</v>
      </c>
      <c r="L26" s="19" t="s">
        <v>38</v>
      </c>
      <c r="M26" s="19">
        <f>70000/7</f>
        <v>10000</v>
      </c>
      <c r="N26" s="14">
        <f>0.042*7</f>
        <v>0.294</v>
      </c>
      <c r="O26" s="19">
        <v>2940</v>
      </c>
    </row>
    <row r="27" ht="16" customHeight="1" spans="1:15">
      <c r="A27" s="142"/>
      <c r="B27" s="14"/>
      <c r="C27" s="143"/>
      <c r="D27" s="144"/>
      <c r="E27" s="143"/>
      <c r="F27" s="146">
        <v>45503</v>
      </c>
      <c r="G27" s="145">
        <f t="shared" si="2"/>
        <v>10500</v>
      </c>
      <c r="H27" s="145">
        <f t="shared" si="0"/>
        <v>500</v>
      </c>
      <c r="I27" s="12">
        <v>10000</v>
      </c>
      <c r="J27" s="12">
        <v>0.294</v>
      </c>
      <c r="K27" s="12">
        <f t="shared" si="1"/>
        <v>2940</v>
      </c>
      <c r="L27" s="12" t="s">
        <v>21</v>
      </c>
      <c r="M27" s="12">
        <v>10000</v>
      </c>
      <c r="N27" s="12">
        <v>0.294</v>
      </c>
      <c r="O27" s="12">
        <v>2940</v>
      </c>
    </row>
    <row r="28" ht="16" customHeight="1" spans="1:15">
      <c r="A28" s="142"/>
      <c r="B28" s="14"/>
      <c r="C28" s="143"/>
      <c r="D28" s="144"/>
      <c r="E28" s="143"/>
      <c r="F28" s="146">
        <v>45503</v>
      </c>
      <c r="G28" s="145">
        <f t="shared" si="2"/>
        <v>10500</v>
      </c>
      <c r="H28" s="145">
        <f t="shared" si="0"/>
        <v>500</v>
      </c>
      <c r="I28" s="12">
        <v>10000</v>
      </c>
      <c r="J28" s="12">
        <v>0.116</v>
      </c>
      <c r="K28" s="12">
        <f t="shared" si="1"/>
        <v>1160</v>
      </c>
      <c r="L28" s="12" t="s">
        <v>22</v>
      </c>
      <c r="M28" s="12">
        <v>10000</v>
      </c>
      <c r="N28" s="12">
        <v>0.116</v>
      </c>
      <c r="O28" s="12">
        <v>1160</v>
      </c>
    </row>
    <row r="29" ht="16" customHeight="1" spans="1:15">
      <c r="A29" s="142">
        <v>45499</v>
      </c>
      <c r="B29" s="14" t="s">
        <v>39</v>
      </c>
      <c r="C29" s="143" t="s">
        <v>43</v>
      </c>
      <c r="D29" s="144" t="s">
        <v>44</v>
      </c>
      <c r="E29" s="143" t="s">
        <v>45</v>
      </c>
      <c r="F29" s="146">
        <v>45503</v>
      </c>
      <c r="G29" s="145">
        <f t="shared" si="2"/>
        <v>9765</v>
      </c>
      <c r="H29" s="145">
        <f t="shared" si="0"/>
        <v>465</v>
      </c>
      <c r="I29" s="12">
        <v>9300</v>
      </c>
      <c r="J29" s="12">
        <v>0.368</v>
      </c>
      <c r="K29" s="12">
        <f t="shared" si="1"/>
        <v>3422.4</v>
      </c>
      <c r="L29" s="12" t="s">
        <v>37</v>
      </c>
      <c r="M29" s="12">
        <v>9300</v>
      </c>
      <c r="N29" s="12">
        <v>0.368</v>
      </c>
      <c r="O29" s="12">
        <v>3422.4</v>
      </c>
    </row>
    <row r="30" ht="16" customHeight="1" spans="1:15">
      <c r="A30" s="142"/>
      <c r="B30" s="14"/>
      <c r="C30" s="143"/>
      <c r="D30" s="144"/>
      <c r="E30" s="143"/>
      <c r="F30" s="146">
        <v>45503</v>
      </c>
      <c r="G30" s="145">
        <f t="shared" si="2"/>
        <v>9765</v>
      </c>
      <c r="H30" s="145">
        <f t="shared" si="0"/>
        <v>465</v>
      </c>
      <c r="I30" s="12">
        <v>9300</v>
      </c>
      <c r="J30" s="12">
        <f>0.042*7</f>
        <v>0.294</v>
      </c>
      <c r="K30" s="12">
        <f t="shared" si="1"/>
        <v>2734.2</v>
      </c>
      <c r="L30" s="12" t="s">
        <v>38</v>
      </c>
      <c r="M30" s="12">
        <f>65100/7</f>
        <v>9300</v>
      </c>
      <c r="N30" s="12">
        <f>0.042*7</f>
        <v>0.294</v>
      </c>
      <c r="O30" s="12">
        <v>2734.2</v>
      </c>
    </row>
    <row r="31" ht="16" customHeight="1" spans="1:15">
      <c r="A31" s="142"/>
      <c r="B31" s="14"/>
      <c r="C31" s="143"/>
      <c r="D31" s="144"/>
      <c r="E31" s="143"/>
      <c r="F31" s="146">
        <v>45506</v>
      </c>
      <c r="G31" s="145">
        <f t="shared" si="2"/>
        <v>9765</v>
      </c>
      <c r="H31" s="145">
        <f t="shared" si="0"/>
        <v>465</v>
      </c>
      <c r="I31" s="12">
        <v>9300</v>
      </c>
      <c r="J31" s="12">
        <v>0.294</v>
      </c>
      <c r="K31" s="12">
        <f t="shared" si="1"/>
        <v>2734.2</v>
      </c>
      <c r="L31" s="12" t="s">
        <v>21</v>
      </c>
      <c r="M31" s="12">
        <v>9300</v>
      </c>
      <c r="N31" s="12">
        <v>0.294</v>
      </c>
      <c r="O31" s="12">
        <v>2734.2</v>
      </c>
    </row>
    <row r="32" ht="16" customHeight="1" spans="1:15">
      <c r="A32" s="142"/>
      <c r="B32" s="14"/>
      <c r="C32" s="143"/>
      <c r="D32" s="144"/>
      <c r="E32" s="143"/>
      <c r="F32" s="146">
        <v>45506</v>
      </c>
      <c r="G32" s="145">
        <f t="shared" si="2"/>
        <v>9765</v>
      </c>
      <c r="H32" s="145">
        <f t="shared" si="0"/>
        <v>465</v>
      </c>
      <c r="I32" s="12">
        <v>9300</v>
      </c>
      <c r="J32" s="12">
        <v>0.116</v>
      </c>
      <c r="K32" s="12">
        <f t="shared" si="1"/>
        <v>1078.8</v>
      </c>
      <c r="L32" s="12" t="s">
        <v>22</v>
      </c>
      <c r="M32" s="12">
        <v>9300</v>
      </c>
      <c r="N32" s="12">
        <v>0.116</v>
      </c>
      <c r="O32" s="12">
        <v>1078.8</v>
      </c>
    </row>
    <row r="33" ht="49.5" spans="1:15">
      <c r="A33" s="148">
        <v>45439</v>
      </c>
      <c r="B33" s="149" t="s">
        <v>15</v>
      </c>
      <c r="C33" s="150">
        <v>54401</v>
      </c>
      <c r="D33" s="151" t="s">
        <v>16</v>
      </c>
      <c r="E33" s="150" t="s">
        <v>17</v>
      </c>
      <c r="F33" s="143" t="s">
        <v>46</v>
      </c>
      <c r="G33" s="12">
        <v>0</v>
      </c>
      <c r="H33" s="12">
        <v>0</v>
      </c>
      <c r="I33" s="12">
        <v>10000</v>
      </c>
      <c r="J33" s="14">
        <v>0.042</v>
      </c>
      <c r="K33" s="152">
        <f t="shared" si="1"/>
        <v>420</v>
      </c>
      <c r="L33" s="19" t="s">
        <v>47</v>
      </c>
      <c r="M33" s="19">
        <v>10000</v>
      </c>
      <c r="N33" s="14">
        <v>0.042</v>
      </c>
      <c r="O33" s="19">
        <v>420</v>
      </c>
    </row>
    <row r="34" ht="49.5" spans="1:15">
      <c r="A34" s="148">
        <v>45439</v>
      </c>
      <c r="B34" s="149" t="s">
        <v>15</v>
      </c>
      <c r="C34" s="150">
        <v>54404</v>
      </c>
      <c r="D34" s="151" t="s">
        <v>23</v>
      </c>
      <c r="E34" s="150" t="s">
        <v>24</v>
      </c>
      <c r="F34" s="143" t="s">
        <v>46</v>
      </c>
      <c r="G34" s="12">
        <v>0</v>
      </c>
      <c r="H34" s="12">
        <v>0</v>
      </c>
      <c r="I34" s="12">
        <v>30000</v>
      </c>
      <c r="J34" s="14">
        <v>0.042</v>
      </c>
      <c r="K34" s="152">
        <f t="shared" si="1"/>
        <v>1260</v>
      </c>
      <c r="L34" s="19" t="s">
        <v>47</v>
      </c>
      <c r="M34" s="19">
        <v>30000</v>
      </c>
      <c r="N34" s="14">
        <v>0.042</v>
      </c>
      <c r="O34" s="19">
        <v>1260</v>
      </c>
    </row>
    <row r="35" ht="66" spans="1:15">
      <c r="A35" s="142">
        <v>45477</v>
      </c>
      <c r="B35" s="14" t="s">
        <v>26</v>
      </c>
      <c r="C35" s="143">
        <v>58401</v>
      </c>
      <c r="D35" s="144" t="s">
        <v>32</v>
      </c>
      <c r="E35" s="143" t="s">
        <v>33</v>
      </c>
      <c r="F35" s="146">
        <v>45484</v>
      </c>
      <c r="G35" s="145">
        <v>32552</v>
      </c>
      <c r="H35" s="145">
        <f>G35-I35</f>
        <v>1550</v>
      </c>
      <c r="I35" s="12">
        <v>31002</v>
      </c>
      <c r="J35" s="19">
        <v>0.1</v>
      </c>
      <c r="K35" s="152">
        <f t="shared" si="1"/>
        <v>3100.2</v>
      </c>
      <c r="L35" s="19" t="s">
        <v>48</v>
      </c>
      <c r="M35" s="19">
        <v>31002</v>
      </c>
      <c r="N35" s="19">
        <v>0.1</v>
      </c>
      <c r="O35" s="19">
        <v>3100.2</v>
      </c>
    </row>
    <row r="36" ht="17.5" spans="1:15">
      <c r="A36" s="20" t="s">
        <v>49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3"/>
      <c r="O36" s="40">
        <f>SUM(O3:O35)</f>
        <v>111532.828</v>
      </c>
    </row>
    <row r="37" ht="17.5" spans="1:1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</row>
  </sheetData>
  <autoFilter xmlns:etc="http://www.wps.cn/officeDocument/2017/etCustomData" ref="A2:O36" etc:filterBottomFollowUsedRange="0">
    <extLst/>
  </autoFilter>
  <mergeCells count="41">
    <mergeCell ref="A1:O1"/>
    <mergeCell ref="A3:A8"/>
    <mergeCell ref="A9:A14"/>
    <mergeCell ref="A15:A18"/>
    <mergeCell ref="A19:A20"/>
    <mergeCell ref="A21:A24"/>
    <mergeCell ref="A25:A28"/>
    <mergeCell ref="A29:A32"/>
    <mergeCell ref="B3:B8"/>
    <mergeCell ref="B9:B14"/>
    <mergeCell ref="B15:B18"/>
    <mergeCell ref="B19:B20"/>
    <mergeCell ref="B21:B24"/>
    <mergeCell ref="B25:B28"/>
    <mergeCell ref="B29:B32"/>
    <mergeCell ref="C3:C8"/>
    <mergeCell ref="C9:C14"/>
    <mergeCell ref="C15:C18"/>
    <mergeCell ref="C19:C20"/>
    <mergeCell ref="C21:C24"/>
    <mergeCell ref="C25:C28"/>
    <mergeCell ref="C29:C32"/>
    <mergeCell ref="D3:D8"/>
    <mergeCell ref="D9:D14"/>
    <mergeCell ref="D15:D18"/>
    <mergeCell ref="D19:D20"/>
    <mergeCell ref="D21:D24"/>
    <mergeCell ref="D25:D28"/>
    <mergeCell ref="D29:D32"/>
    <mergeCell ref="E3:E8"/>
    <mergeCell ref="E9:E14"/>
    <mergeCell ref="E15:E18"/>
    <mergeCell ref="E19:E20"/>
    <mergeCell ref="E21:E24"/>
    <mergeCell ref="E25:E28"/>
    <mergeCell ref="E29:E32"/>
    <mergeCell ref="L3:L4"/>
    <mergeCell ref="L5:L6"/>
    <mergeCell ref="L9:L10"/>
    <mergeCell ref="L11:L12"/>
    <mergeCell ref="L17:L18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9"/>
  <sheetViews>
    <sheetView tabSelected="1" topLeftCell="E5" workbookViewId="0">
      <selection activeCell="K16" sqref="K16"/>
    </sheetView>
  </sheetViews>
  <sheetFormatPr defaultColWidth="8.71818181818182" defaultRowHeight="14"/>
  <cols>
    <col min="1" max="1" width="13.1818181818182" customWidth="1"/>
    <col min="2" max="2" width="10.7181818181818" customWidth="1"/>
    <col min="3" max="3" width="8.28181818181818" style="24" customWidth="1"/>
    <col min="4" max="4" width="24.0909090909091" customWidth="1"/>
    <col min="5" max="5" width="33.6272727272727" customWidth="1"/>
    <col min="6" max="6" width="17.3727272727273" style="25" customWidth="1"/>
    <col min="7" max="7" width="56.0909090909091" customWidth="1"/>
    <col min="8" max="8" width="9.45454545454546" customWidth="1"/>
    <col min="9" max="9" width="12.3727272727273" customWidth="1"/>
    <col min="10" max="10" width="13.5454545454545" customWidth="1"/>
    <col min="11" max="11" width="84.1090909090909" customWidth="1"/>
    <col min="12" max="12" width="41.5545454545455" customWidth="1"/>
    <col min="13" max="13" width="9.54545454545454" style="105"/>
    <col min="15" max="15" width="9.54545454545454"/>
  </cols>
  <sheetData>
    <row r="1" s="1" customFormat="1" ht="21" spans="1:13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  <c r="M1" s="105"/>
    </row>
    <row r="2" s="1" customFormat="1" customHeight="1" spans="1:13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41" t="s">
        <v>51</v>
      </c>
      <c r="M2" s="105"/>
    </row>
    <row r="3" s="1" customFormat="1" ht="16.5" customHeight="1" spans="1:13">
      <c r="A3" s="55">
        <v>45524</v>
      </c>
      <c r="B3" s="36" t="s">
        <v>39</v>
      </c>
      <c r="C3" s="28">
        <v>61802</v>
      </c>
      <c r="D3" s="56" t="s">
        <v>52</v>
      </c>
      <c r="E3" s="28" t="s">
        <v>53</v>
      </c>
      <c r="F3" s="36" t="s">
        <v>54</v>
      </c>
      <c r="G3" s="42" t="s">
        <v>37</v>
      </c>
      <c r="H3" s="42">
        <v>6000</v>
      </c>
      <c r="I3" s="74">
        <v>0.368</v>
      </c>
      <c r="J3" s="42">
        <f t="shared" ref="J3:J15" si="0">H3*I3</f>
        <v>2208</v>
      </c>
      <c r="M3" s="105"/>
    </row>
    <row r="4" s="1" customFormat="1" ht="16.5" spans="1:13">
      <c r="A4" s="55"/>
      <c r="B4" s="36"/>
      <c r="C4" s="28"/>
      <c r="D4" s="56"/>
      <c r="E4" s="28"/>
      <c r="F4" s="36"/>
      <c r="G4" s="42" t="s">
        <v>38</v>
      </c>
      <c r="H4" s="42">
        <f>42000/7</f>
        <v>6000</v>
      </c>
      <c r="I4" s="75">
        <f>0.042*7</f>
        <v>0.294</v>
      </c>
      <c r="J4" s="42">
        <f t="shared" si="0"/>
        <v>1764</v>
      </c>
      <c r="M4" s="105"/>
    </row>
    <row r="5" s="1" customFormat="1" ht="16.5" spans="1:13">
      <c r="A5" s="55"/>
      <c r="B5" s="36"/>
      <c r="C5" s="28"/>
      <c r="D5" s="56"/>
      <c r="E5" s="28"/>
      <c r="F5" s="36"/>
      <c r="G5" s="42" t="s">
        <v>21</v>
      </c>
      <c r="H5" s="42">
        <v>6000</v>
      </c>
      <c r="I5" s="74">
        <v>0.294</v>
      </c>
      <c r="J5" s="42">
        <f t="shared" si="0"/>
        <v>1764</v>
      </c>
      <c r="M5" s="105"/>
    </row>
    <row r="6" s="1" customFormat="1" ht="16.5" spans="1:13">
      <c r="A6" s="55"/>
      <c r="B6" s="36"/>
      <c r="C6" s="28"/>
      <c r="D6" s="56"/>
      <c r="E6" s="28"/>
      <c r="F6" s="36"/>
      <c r="G6" s="42" t="s">
        <v>22</v>
      </c>
      <c r="H6" s="42">
        <v>6000</v>
      </c>
      <c r="I6" s="74">
        <v>0.116</v>
      </c>
      <c r="J6" s="42">
        <f t="shared" si="0"/>
        <v>696</v>
      </c>
      <c r="M6" s="105"/>
    </row>
    <row r="7" s="1" customFormat="1" ht="16.5" spans="1:13">
      <c r="A7" s="60">
        <v>45679</v>
      </c>
      <c r="B7" s="36" t="s">
        <v>39</v>
      </c>
      <c r="C7" s="28" t="s">
        <v>43</v>
      </c>
      <c r="D7" s="29" t="s">
        <v>55</v>
      </c>
      <c r="E7" s="35" t="s">
        <v>43</v>
      </c>
      <c r="F7" s="28" t="s">
        <v>56</v>
      </c>
      <c r="G7" s="31" t="s">
        <v>57</v>
      </c>
      <c r="H7" s="31">
        <v>2000</v>
      </c>
      <c r="I7" s="31">
        <v>0.05</v>
      </c>
      <c r="J7" s="42">
        <f t="shared" si="0"/>
        <v>100</v>
      </c>
      <c r="K7" s="125"/>
      <c r="L7" s="125" t="s">
        <v>58</v>
      </c>
      <c r="M7" s="105"/>
    </row>
    <row r="8" ht="32" customHeight="1" spans="1:12">
      <c r="A8" s="27">
        <v>45787</v>
      </c>
      <c r="B8" s="27" t="s">
        <v>39</v>
      </c>
      <c r="C8" s="27" t="s">
        <v>59</v>
      </c>
      <c r="D8" s="83" t="s">
        <v>60</v>
      </c>
      <c r="E8" s="27" t="s">
        <v>61</v>
      </c>
      <c r="F8" s="27" t="s">
        <v>62</v>
      </c>
      <c r="G8" s="42" t="s">
        <v>63</v>
      </c>
      <c r="H8" s="42">
        <f>6000</f>
        <v>6000</v>
      </c>
      <c r="I8" s="42">
        <f>0.042*2</f>
        <v>0.084</v>
      </c>
      <c r="J8" s="42">
        <f t="shared" si="0"/>
        <v>504</v>
      </c>
      <c r="K8" s="126"/>
      <c r="L8" s="127" t="s">
        <v>64</v>
      </c>
    </row>
    <row r="9" ht="30" customHeight="1" spans="1:12">
      <c r="A9" s="27"/>
      <c r="B9" s="27"/>
      <c r="C9" s="27"/>
      <c r="D9" s="83"/>
      <c r="E9" s="27"/>
      <c r="F9" s="27"/>
      <c r="G9" s="42" t="s">
        <v>65</v>
      </c>
      <c r="H9" s="42">
        <f>4680</f>
        <v>4680</v>
      </c>
      <c r="I9" s="42">
        <f>0.042*3</f>
        <v>0.126</v>
      </c>
      <c r="J9" s="42">
        <f t="shared" si="0"/>
        <v>589.68</v>
      </c>
      <c r="K9" s="25"/>
      <c r="L9" s="128"/>
    </row>
    <row r="10" ht="28" customHeight="1" spans="1:15">
      <c r="A10" s="27"/>
      <c r="B10" s="27"/>
      <c r="C10" s="27"/>
      <c r="D10" s="83"/>
      <c r="E10" s="27"/>
      <c r="F10" s="27"/>
      <c r="G10" s="106" t="s">
        <v>21</v>
      </c>
      <c r="H10" s="106">
        <f>3500+3000+3000</f>
        <v>9500</v>
      </c>
      <c r="I10" s="36">
        <v>0.24</v>
      </c>
      <c r="J10" s="42">
        <f t="shared" si="0"/>
        <v>2280</v>
      </c>
      <c r="K10" s="25"/>
      <c r="L10" s="128"/>
      <c r="N10" t="s">
        <v>66</v>
      </c>
      <c r="O10" t="s">
        <v>67</v>
      </c>
    </row>
    <row r="11" ht="33" spans="1:15">
      <c r="A11" s="27">
        <v>45787</v>
      </c>
      <c r="B11" s="28" t="s">
        <v>39</v>
      </c>
      <c r="C11" s="28">
        <v>79229</v>
      </c>
      <c r="D11" s="70" t="s">
        <v>68</v>
      </c>
      <c r="E11" s="28" t="s">
        <v>69</v>
      </c>
      <c r="F11" s="27" t="s">
        <v>70</v>
      </c>
      <c r="G11" s="42" t="s">
        <v>71</v>
      </c>
      <c r="H11" s="107">
        <v>6300</v>
      </c>
      <c r="I11" s="36">
        <v>0.24</v>
      </c>
      <c r="J11" s="129">
        <f t="shared" si="0"/>
        <v>1512</v>
      </c>
      <c r="K11" s="25"/>
      <c r="L11" s="128"/>
      <c r="M11" s="105">
        <f>5184.55+4355.02+5184.55+1849.68+2280</f>
        <v>18853.8</v>
      </c>
      <c r="N11">
        <v>17761.802</v>
      </c>
      <c r="O11">
        <f>M11-N11</f>
        <v>1091.998</v>
      </c>
    </row>
    <row r="12" ht="16.5" spans="1:12">
      <c r="A12" s="27">
        <v>45796</v>
      </c>
      <c r="B12" s="28" t="s">
        <v>39</v>
      </c>
      <c r="C12" s="28" t="s">
        <v>72</v>
      </c>
      <c r="D12" s="70" t="s">
        <v>73</v>
      </c>
      <c r="E12" s="28" t="s">
        <v>74</v>
      </c>
      <c r="F12" s="27" t="s">
        <v>62</v>
      </c>
      <c r="G12" s="108" t="s">
        <v>21</v>
      </c>
      <c r="H12" s="109">
        <v>14813</v>
      </c>
      <c r="I12" s="109">
        <v>0.24</v>
      </c>
      <c r="J12" s="108">
        <f t="shared" si="0"/>
        <v>3555.12</v>
      </c>
      <c r="K12" s="25"/>
      <c r="L12" s="128"/>
    </row>
    <row r="13" ht="33" customHeight="1" spans="1:12">
      <c r="A13" s="27"/>
      <c r="B13" s="28"/>
      <c r="C13" s="28"/>
      <c r="D13" s="70"/>
      <c r="E13" s="28"/>
      <c r="F13" s="27"/>
      <c r="G13" s="109" t="s">
        <v>22</v>
      </c>
      <c r="H13" s="109">
        <v>14813</v>
      </c>
      <c r="I13" s="109">
        <v>0.11</v>
      </c>
      <c r="J13" s="108">
        <f t="shared" si="0"/>
        <v>1629.43</v>
      </c>
      <c r="K13" s="25"/>
      <c r="L13" s="128"/>
    </row>
    <row r="14" ht="28" customHeight="1" spans="1:12">
      <c r="A14" s="27"/>
      <c r="B14" s="28"/>
      <c r="C14" s="28"/>
      <c r="D14" s="70"/>
      <c r="E14" s="28"/>
      <c r="F14" s="27"/>
      <c r="G14" s="109" t="s">
        <v>38</v>
      </c>
      <c r="H14" s="109">
        <f>14813</f>
        <v>14813</v>
      </c>
      <c r="I14" s="109">
        <f>0.042*7</f>
        <v>0.294</v>
      </c>
      <c r="J14" s="108">
        <f t="shared" si="0"/>
        <v>4355.022</v>
      </c>
      <c r="K14" s="25"/>
      <c r="L14" s="128"/>
    </row>
    <row r="15" ht="36" customHeight="1" spans="1:12">
      <c r="A15" s="27"/>
      <c r="B15" s="28"/>
      <c r="C15" s="28"/>
      <c r="D15" s="70"/>
      <c r="E15" s="28"/>
      <c r="F15" s="27"/>
      <c r="G15" s="109" t="s">
        <v>75</v>
      </c>
      <c r="H15" s="109">
        <v>9533</v>
      </c>
      <c r="I15" s="109">
        <v>0.35</v>
      </c>
      <c r="J15" s="108">
        <f t="shared" si="0"/>
        <v>3336.55</v>
      </c>
      <c r="K15" s="130"/>
      <c r="L15" s="131"/>
    </row>
    <row r="16" ht="57" customHeight="1" spans="1:10">
      <c r="A16" s="27"/>
      <c r="B16" s="28"/>
      <c r="C16" s="28"/>
      <c r="D16" s="70"/>
      <c r="E16" s="5" t="s">
        <v>5</v>
      </c>
      <c r="F16" s="6" t="s">
        <v>6</v>
      </c>
      <c r="G16" s="7" t="s">
        <v>12</v>
      </c>
      <c r="H16" s="8" t="s">
        <v>13</v>
      </c>
      <c r="I16" s="9" t="s">
        <v>10</v>
      </c>
      <c r="J16" s="41" t="s">
        <v>51</v>
      </c>
    </row>
    <row r="17" ht="16.5" spans="1:12">
      <c r="A17" s="27">
        <v>45813</v>
      </c>
      <c r="B17" s="28" t="s">
        <v>39</v>
      </c>
      <c r="C17" s="28" t="s">
        <v>76</v>
      </c>
      <c r="D17" s="70" t="s">
        <v>77</v>
      </c>
      <c r="E17" s="28" t="s">
        <v>78</v>
      </c>
      <c r="F17" s="85" t="s">
        <v>70</v>
      </c>
      <c r="G17" s="109" t="s">
        <v>79</v>
      </c>
      <c r="H17" s="109">
        <f>15013</f>
        <v>15013</v>
      </c>
      <c r="I17" s="109">
        <f>0.042*9</f>
        <v>0.378</v>
      </c>
      <c r="J17" s="108">
        <f t="shared" ref="J17:J36" si="1">H17*I17</f>
        <v>5674.914</v>
      </c>
      <c r="K17" s="132"/>
      <c r="L17" s="132" t="s">
        <v>80</v>
      </c>
    </row>
    <row r="18" ht="16.5" spans="1:12">
      <c r="A18" s="27"/>
      <c r="B18" s="28"/>
      <c r="C18" s="28"/>
      <c r="D18" s="70"/>
      <c r="E18" s="28"/>
      <c r="F18" s="86"/>
      <c r="G18" s="108" t="s">
        <v>81</v>
      </c>
      <c r="H18" s="110">
        <v>15463</v>
      </c>
      <c r="I18" s="133">
        <v>1.07</v>
      </c>
      <c r="J18" s="108">
        <f t="shared" si="1"/>
        <v>16545.41</v>
      </c>
      <c r="K18" s="134"/>
      <c r="L18" s="134"/>
    </row>
    <row r="19" ht="16.5" spans="1:12">
      <c r="A19" s="27"/>
      <c r="B19" s="28"/>
      <c r="C19" s="28"/>
      <c r="D19" s="70"/>
      <c r="E19" s="28"/>
      <c r="F19" s="86"/>
      <c r="G19" s="108" t="s">
        <v>82</v>
      </c>
      <c r="H19" s="111">
        <v>150</v>
      </c>
      <c r="I19" s="133">
        <v>0</v>
      </c>
      <c r="J19" s="108">
        <f t="shared" si="1"/>
        <v>0</v>
      </c>
      <c r="K19" s="134"/>
      <c r="L19" s="134"/>
    </row>
    <row r="20" ht="16.5" spans="1:12">
      <c r="A20" s="27"/>
      <c r="B20" s="28"/>
      <c r="C20" s="28"/>
      <c r="D20" s="70"/>
      <c r="E20" s="28"/>
      <c r="F20" s="86"/>
      <c r="G20" s="112" t="s">
        <v>83</v>
      </c>
      <c r="H20" s="111">
        <f>4*5+5</f>
        <v>25</v>
      </c>
      <c r="I20" s="133">
        <v>0</v>
      </c>
      <c r="J20" s="108">
        <f t="shared" si="1"/>
        <v>0</v>
      </c>
      <c r="K20" s="134"/>
      <c r="L20" s="134"/>
    </row>
    <row r="21" ht="16.5" spans="1:13">
      <c r="A21" s="27"/>
      <c r="B21" s="28"/>
      <c r="C21" s="28"/>
      <c r="D21" s="70"/>
      <c r="E21" s="28"/>
      <c r="F21" s="86"/>
      <c r="G21" s="108" t="s">
        <v>71</v>
      </c>
      <c r="H21" s="111">
        <v>10013</v>
      </c>
      <c r="I21" s="109">
        <v>0.24</v>
      </c>
      <c r="J21" s="108">
        <f t="shared" si="1"/>
        <v>2403.12</v>
      </c>
      <c r="K21" s="134"/>
      <c r="L21" s="134"/>
      <c r="M21" s="105">
        <f>16545.41+5674.91+5254.55</f>
        <v>27474.87</v>
      </c>
    </row>
    <row r="22" ht="16.5" spans="1:12">
      <c r="A22" s="27"/>
      <c r="B22" s="28"/>
      <c r="C22" s="28"/>
      <c r="D22" s="70"/>
      <c r="E22" s="28"/>
      <c r="F22" s="86"/>
      <c r="G22" s="109" t="s">
        <v>22</v>
      </c>
      <c r="H22" s="111">
        <v>10013</v>
      </c>
      <c r="I22" s="109">
        <v>0.11</v>
      </c>
      <c r="J22" s="108">
        <f t="shared" si="1"/>
        <v>1101.43</v>
      </c>
      <c r="K22" s="134"/>
      <c r="L22" s="134"/>
    </row>
    <row r="23" ht="16.5" spans="1:12">
      <c r="A23" s="27"/>
      <c r="B23" s="28"/>
      <c r="C23" s="28"/>
      <c r="D23" s="70"/>
      <c r="E23" s="28"/>
      <c r="F23" s="86"/>
      <c r="G23" s="108" t="s">
        <v>71</v>
      </c>
      <c r="H23" s="111">
        <v>5000</v>
      </c>
      <c r="I23" s="109">
        <v>0.24</v>
      </c>
      <c r="J23" s="108">
        <f t="shared" si="1"/>
        <v>1200</v>
      </c>
      <c r="K23" s="134"/>
      <c r="L23" s="134"/>
    </row>
    <row r="24" ht="16.5" spans="1:12">
      <c r="A24" s="27"/>
      <c r="B24" s="28"/>
      <c r="C24" s="28"/>
      <c r="D24" s="70"/>
      <c r="E24" s="28"/>
      <c r="F24" s="86"/>
      <c r="G24" s="109" t="s">
        <v>22</v>
      </c>
      <c r="H24" s="111">
        <v>5000</v>
      </c>
      <c r="I24" s="109">
        <v>0.11</v>
      </c>
      <c r="J24" s="108">
        <f t="shared" si="1"/>
        <v>550</v>
      </c>
      <c r="K24" s="134"/>
      <c r="L24" s="135"/>
    </row>
    <row r="25" ht="16.5" spans="1:12">
      <c r="A25" s="27">
        <v>45819</v>
      </c>
      <c r="B25" s="28" t="s">
        <v>39</v>
      </c>
      <c r="C25" s="28">
        <v>81633</v>
      </c>
      <c r="D25" s="70" t="s">
        <v>84</v>
      </c>
      <c r="E25" s="28" t="s">
        <v>85</v>
      </c>
      <c r="F25" s="85" t="s">
        <v>70</v>
      </c>
      <c r="G25" s="42" t="s">
        <v>86</v>
      </c>
      <c r="H25" s="65">
        <v>10300</v>
      </c>
      <c r="I25" s="65">
        <v>1.07</v>
      </c>
      <c r="J25" s="42">
        <f t="shared" si="1"/>
        <v>11021</v>
      </c>
      <c r="K25" s="126"/>
      <c r="L25" s="128" t="s">
        <v>87</v>
      </c>
    </row>
    <row r="26" ht="16.5" spans="1:15">
      <c r="A26" s="27"/>
      <c r="B26" s="28"/>
      <c r="C26" s="28"/>
      <c r="D26" s="70"/>
      <c r="E26" s="28"/>
      <c r="F26" s="86"/>
      <c r="G26" s="42" t="s">
        <v>88</v>
      </c>
      <c r="H26" s="65">
        <v>103</v>
      </c>
      <c r="I26" s="65">
        <v>0</v>
      </c>
      <c r="J26" s="42">
        <f t="shared" si="1"/>
        <v>0</v>
      </c>
      <c r="K26" s="136"/>
      <c r="L26" s="128"/>
      <c r="N26" t="s">
        <v>66</v>
      </c>
      <c r="O26" t="s">
        <v>67</v>
      </c>
    </row>
    <row r="27" ht="16.5" spans="1:15">
      <c r="A27" s="27"/>
      <c r="B27" s="28"/>
      <c r="C27" s="28"/>
      <c r="D27" s="70"/>
      <c r="E27" s="28"/>
      <c r="F27" s="86"/>
      <c r="G27" s="42"/>
      <c r="H27" s="65"/>
      <c r="I27" s="65"/>
      <c r="J27" s="42"/>
      <c r="K27" s="136"/>
      <c r="L27" s="128"/>
      <c r="M27" s="105">
        <f>11021+2100+4124</f>
        <v>17245</v>
      </c>
      <c r="N27">
        <v>15733</v>
      </c>
      <c r="O27">
        <f>M27-N27</f>
        <v>1512</v>
      </c>
    </row>
    <row r="28" ht="16.5" spans="1:12">
      <c r="A28" s="27"/>
      <c r="B28" s="28"/>
      <c r="C28" s="28"/>
      <c r="D28" s="70"/>
      <c r="E28" s="28"/>
      <c r="F28" s="86"/>
      <c r="G28" s="42" t="s">
        <v>71</v>
      </c>
      <c r="H28" s="107">
        <v>6300</v>
      </c>
      <c r="I28" s="36">
        <v>0.24</v>
      </c>
      <c r="J28" s="42">
        <f>H28*I28</f>
        <v>1512</v>
      </c>
      <c r="K28" s="136"/>
      <c r="L28" s="128"/>
    </row>
    <row r="29" ht="16.5" spans="1:12">
      <c r="A29" s="27"/>
      <c r="B29" s="28"/>
      <c r="C29" s="28"/>
      <c r="D29" s="70"/>
      <c r="E29" s="28"/>
      <c r="F29" s="86"/>
      <c r="G29" s="36" t="s">
        <v>22</v>
      </c>
      <c r="H29" s="36">
        <v>10000</v>
      </c>
      <c r="I29" s="36">
        <v>0.11</v>
      </c>
      <c r="J29" s="42">
        <f>H29*I29</f>
        <v>1100</v>
      </c>
      <c r="K29" s="136"/>
      <c r="L29" s="128"/>
    </row>
    <row r="30" ht="16.5" spans="1:12">
      <c r="A30" s="27"/>
      <c r="B30" s="28"/>
      <c r="C30" s="28"/>
      <c r="D30" s="70"/>
      <c r="E30" s="28"/>
      <c r="F30" s="113"/>
      <c r="G30" s="36" t="s">
        <v>89</v>
      </c>
      <c r="H30" s="36">
        <f>10000</f>
        <v>10000</v>
      </c>
      <c r="I30" s="36">
        <f>0.042*5</f>
        <v>0.21</v>
      </c>
      <c r="J30" s="42">
        <f>H30*I30</f>
        <v>2100</v>
      </c>
      <c r="K30" s="130"/>
      <c r="L30" s="131"/>
    </row>
    <row r="31" ht="16.5" spans="1:12">
      <c r="A31" s="27"/>
      <c r="B31" s="28"/>
      <c r="C31" s="28"/>
      <c r="D31" s="70"/>
      <c r="E31" s="5" t="s">
        <v>5</v>
      </c>
      <c r="F31" s="6" t="s">
        <v>6</v>
      </c>
      <c r="G31" s="7" t="s">
        <v>12</v>
      </c>
      <c r="H31" s="8" t="s">
        <v>13</v>
      </c>
      <c r="I31" s="9" t="s">
        <v>10</v>
      </c>
      <c r="J31" s="41" t="s">
        <v>51</v>
      </c>
      <c r="L31" s="137"/>
    </row>
    <row r="32" ht="16.5" spans="1:15">
      <c r="A32" s="27">
        <v>45825</v>
      </c>
      <c r="B32" s="27" t="s">
        <v>39</v>
      </c>
      <c r="C32" s="114" t="s">
        <v>90</v>
      </c>
      <c r="D32" s="115" t="s">
        <v>91</v>
      </c>
      <c r="E32" s="116" t="s">
        <v>92</v>
      </c>
      <c r="F32" s="116" t="s">
        <v>70</v>
      </c>
      <c r="G32" s="117" t="s">
        <v>93</v>
      </c>
      <c r="H32" s="117">
        <v>5826</v>
      </c>
      <c r="I32" s="117">
        <v>0.11</v>
      </c>
      <c r="J32" s="138">
        <f>H32*I32</f>
        <v>640.86</v>
      </c>
      <c r="K32" s="126"/>
      <c r="L32" s="127" t="s">
        <v>94</v>
      </c>
      <c r="N32" t="s">
        <v>66</v>
      </c>
      <c r="O32" t="s">
        <v>67</v>
      </c>
    </row>
    <row r="33" ht="16.5" spans="1:15">
      <c r="A33" s="27"/>
      <c r="B33" s="27"/>
      <c r="C33" s="114"/>
      <c r="D33" s="115"/>
      <c r="E33" s="116"/>
      <c r="F33" s="116" t="s">
        <v>95</v>
      </c>
      <c r="G33" s="117" t="s">
        <v>89</v>
      </c>
      <c r="H33" s="117">
        <f>4520</f>
        <v>4520</v>
      </c>
      <c r="I33" s="117">
        <f>0.042*5</f>
        <v>0.21</v>
      </c>
      <c r="J33" s="138">
        <f>H33*I33</f>
        <v>949.2</v>
      </c>
      <c r="K33" s="136"/>
      <c r="L33" s="128"/>
      <c r="M33" s="105">
        <f>6421.07+2100+640.86</f>
        <v>9161.93</v>
      </c>
      <c r="N33">
        <v>8285.39</v>
      </c>
      <c r="O33">
        <f>M33-N33</f>
        <v>876.540000000001</v>
      </c>
    </row>
    <row r="34" ht="16.5" spans="1:12">
      <c r="A34" s="27"/>
      <c r="B34" s="27"/>
      <c r="C34" s="114"/>
      <c r="D34" s="115"/>
      <c r="E34" s="116"/>
      <c r="F34" s="116" t="s">
        <v>96</v>
      </c>
      <c r="G34" s="117" t="s">
        <v>86</v>
      </c>
      <c r="H34" s="117">
        <v>6001</v>
      </c>
      <c r="I34" s="139">
        <v>1.07</v>
      </c>
      <c r="J34" s="138">
        <f>H34*I34</f>
        <v>6421.07</v>
      </c>
      <c r="K34" s="136"/>
      <c r="L34" s="128"/>
    </row>
    <row r="35" ht="16.5" spans="1:12">
      <c r="A35" s="27"/>
      <c r="B35" s="27"/>
      <c r="C35" s="114"/>
      <c r="D35" s="115"/>
      <c r="E35" s="116"/>
      <c r="F35" s="116"/>
      <c r="G35" s="117" t="s">
        <v>88</v>
      </c>
      <c r="H35" s="117">
        <v>60</v>
      </c>
      <c r="I35" s="139">
        <v>0</v>
      </c>
      <c r="J35" s="138">
        <f>H35*I35</f>
        <v>0</v>
      </c>
      <c r="K35" s="136"/>
      <c r="L35" s="128"/>
    </row>
    <row r="36" ht="33" spans="1:12">
      <c r="A36" s="27">
        <v>45825</v>
      </c>
      <c r="B36" s="28" t="s">
        <v>39</v>
      </c>
      <c r="C36" s="118" t="s">
        <v>43</v>
      </c>
      <c r="D36" s="119" t="s">
        <v>97</v>
      </c>
      <c r="E36" s="120" t="s">
        <v>98</v>
      </c>
      <c r="F36" s="116" t="s">
        <v>96</v>
      </c>
      <c r="G36" s="117" t="s">
        <v>89</v>
      </c>
      <c r="H36" s="117">
        <f>1306</f>
        <v>1306</v>
      </c>
      <c r="I36" s="117">
        <f>0.042*5</f>
        <v>0.21</v>
      </c>
      <c r="J36" s="138">
        <f>H36*I36</f>
        <v>274.26</v>
      </c>
      <c r="K36" s="130"/>
      <c r="L36" s="131"/>
    </row>
    <row r="37" ht="16.5" spans="1:10">
      <c r="A37" s="27"/>
      <c r="B37" s="28"/>
      <c r="C37" s="118"/>
      <c r="D37" s="119"/>
      <c r="E37" s="120"/>
      <c r="F37" s="121"/>
      <c r="G37" s="117"/>
      <c r="H37" s="117"/>
      <c r="I37" s="117" t="s">
        <v>49</v>
      </c>
      <c r="J37" s="138">
        <f>SUM(J32:J36)</f>
        <v>8285.39</v>
      </c>
    </row>
    <row r="38" ht="16.5" spans="1:10">
      <c r="A38" s="27">
        <v>45832</v>
      </c>
      <c r="B38" s="27" t="s">
        <v>39</v>
      </c>
      <c r="C38" s="84" t="s">
        <v>99</v>
      </c>
      <c r="D38" s="83" t="s">
        <v>100</v>
      </c>
      <c r="E38" s="27" t="s">
        <v>101</v>
      </c>
      <c r="F38" s="85" t="s">
        <v>102</v>
      </c>
      <c r="G38" s="36" t="s">
        <v>21</v>
      </c>
      <c r="H38" s="36">
        <v>6013</v>
      </c>
      <c r="I38" s="36">
        <v>0.24</v>
      </c>
      <c r="J38" s="42">
        <f t="shared" ref="J38:J45" si="2">H38*I38</f>
        <v>1443.12</v>
      </c>
    </row>
    <row r="39" ht="16.5" spans="1:10">
      <c r="A39" s="27"/>
      <c r="B39" s="27"/>
      <c r="C39" s="84"/>
      <c r="D39" s="83"/>
      <c r="E39" s="27"/>
      <c r="F39" s="86"/>
      <c r="G39" s="36" t="s">
        <v>93</v>
      </c>
      <c r="H39" s="36">
        <v>6013</v>
      </c>
      <c r="I39" s="36">
        <v>0.11</v>
      </c>
      <c r="J39" s="42">
        <f t="shared" si="2"/>
        <v>661.43</v>
      </c>
    </row>
    <row r="40" ht="16.5" spans="1:10">
      <c r="A40" s="27"/>
      <c r="B40" s="27"/>
      <c r="C40" s="84"/>
      <c r="D40" s="83"/>
      <c r="E40" s="27"/>
      <c r="F40" s="85" t="s">
        <v>103</v>
      </c>
      <c r="G40" s="36" t="s">
        <v>89</v>
      </c>
      <c r="H40" s="36">
        <v>6013</v>
      </c>
      <c r="I40" s="36">
        <f>0.042*5</f>
        <v>0.21</v>
      </c>
      <c r="J40" s="42">
        <f t="shared" si="2"/>
        <v>1262.73</v>
      </c>
    </row>
    <row r="41" ht="16.5" spans="1:10">
      <c r="A41" s="27"/>
      <c r="B41" s="27"/>
      <c r="C41" s="84"/>
      <c r="D41" s="83"/>
      <c r="E41" s="27"/>
      <c r="F41" s="113"/>
      <c r="G41" s="36" t="s">
        <v>104</v>
      </c>
      <c r="H41" s="36">
        <v>6013</v>
      </c>
      <c r="I41" s="65">
        <v>0.027</v>
      </c>
      <c r="J41" s="42">
        <f t="shared" si="2"/>
        <v>162.351</v>
      </c>
    </row>
    <row r="42" ht="16.5" spans="1:10">
      <c r="A42" s="27"/>
      <c r="B42" s="27"/>
      <c r="C42" s="84"/>
      <c r="D42" s="83"/>
      <c r="E42" s="27"/>
      <c r="F42" s="27" t="s">
        <v>105</v>
      </c>
      <c r="G42" s="42" t="s">
        <v>106</v>
      </c>
      <c r="H42" s="36">
        <v>6013</v>
      </c>
      <c r="I42" s="36">
        <v>0.13</v>
      </c>
      <c r="J42" s="42">
        <f t="shared" si="2"/>
        <v>781.69</v>
      </c>
    </row>
    <row r="43" ht="16.5" spans="1:10">
      <c r="A43" s="27"/>
      <c r="B43" s="27"/>
      <c r="C43" s="84"/>
      <c r="D43" s="83"/>
      <c r="E43" s="27"/>
      <c r="F43" s="113" t="s">
        <v>107</v>
      </c>
      <c r="G43" s="42" t="s">
        <v>108</v>
      </c>
      <c r="H43" s="36">
        <v>6013</v>
      </c>
      <c r="I43" s="36">
        <v>0.12</v>
      </c>
      <c r="J43" s="42">
        <f t="shared" si="2"/>
        <v>721.56</v>
      </c>
    </row>
    <row r="44" ht="16.5" spans="1:10">
      <c r="A44" s="27"/>
      <c r="B44" s="27"/>
      <c r="C44" s="84"/>
      <c r="D44" s="83"/>
      <c r="E44" s="27"/>
      <c r="F44" s="113" t="s">
        <v>109</v>
      </c>
      <c r="G44" s="36" t="s">
        <v>110</v>
      </c>
      <c r="H44" s="36">
        <v>3000</v>
      </c>
      <c r="I44" s="65">
        <v>0.63</v>
      </c>
      <c r="J44" s="42">
        <f t="shared" si="2"/>
        <v>1890</v>
      </c>
    </row>
    <row r="45" ht="16.5" spans="1:12">
      <c r="A45" s="27">
        <v>45832</v>
      </c>
      <c r="B45" s="28" t="s">
        <v>39</v>
      </c>
      <c r="C45" s="28" t="s">
        <v>111</v>
      </c>
      <c r="D45" s="70" t="s">
        <v>112</v>
      </c>
      <c r="E45" s="28" t="s">
        <v>113</v>
      </c>
      <c r="F45" s="27" t="s">
        <v>114</v>
      </c>
      <c r="G45" s="42" t="s">
        <v>86</v>
      </c>
      <c r="H45" s="36">
        <v>10300</v>
      </c>
      <c r="I45" s="36">
        <v>1.07</v>
      </c>
      <c r="J45" s="42">
        <f t="shared" si="2"/>
        <v>11021</v>
      </c>
      <c r="K45" s="132"/>
      <c r="L45" s="132" t="s">
        <v>115</v>
      </c>
    </row>
    <row r="46" ht="16.5" spans="1:12">
      <c r="A46" s="27"/>
      <c r="B46" s="28"/>
      <c r="C46" s="28"/>
      <c r="D46" s="70"/>
      <c r="E46" s="28"/>
      <c r="F46" s="27"/>
      <c r="G46" s="42" t="s">
        <v>88</v>
      </c>
      <c r="H46" s="36">
        <v>103</v>
      </c>
      <c r="I46" s="36">
        <v>0</v>
      </c>
      <c r="J46" s="42">
        <f t="shared" ref="J46:J53" si="3">H46*I46</f>
        <v>0</v>
      </c>
      <c r="K46" s="134"/>
      <c r="L46" s="134"/>
    </row>
    <row r="47" ht="16.5" spans="1:13">
      <c r="A47" s="27"/>
      <c r="B47" s="28"/>
      <c r="C47" s="28"/>
      <c r="D47" s="70"/>
      <c r="E47" s="28"/>
      <c r="F47" s="27" t="s">
        <v>103</v>
      </c>
      <c r="G47" s="42" t="s">
        <v>71</v>
      </c>
      <c r="H47" s="107">
        <f>6300+6300</f>
        <v>12600</v>
      </c>
      <c r="I47" s="36">
        <v>0.24</v>
      </c>
      <c r="J47" s="42">
        <f t="shared" si="3"/>
        <v>3024</v>
      </c>
      <c r="K47" s="134"/>
      <c r="L47" s="134"/>
      <c r="M47" s="105">
        <f>11021+2100+4124</f>
        <v>17245</v>
      </c>
    </row>
    <row r="48" ht="16.5" spans="1:12">
      <c r="A48" s="27"/>
      <c r="B48" s="28"/>
      <c r="C48" s="28"/>
      <c r="D48" s="70"/>
      <c r="E48" s="28"/>
      <c r="F48" s="27"/>
      <c r="G48" s="36" t="s">
        <v>22</v>
      </c>
      <c r="H48" s="36">
        <v>10000</v>
      </c>
      <c r="I48" s="36">
        <v>0.11</v>
      </c>
      <c r="J48" s="42">
        <f t="shared" si="3"/>
        <v>1100</v>
      </c>
      <c r="K48" s="134"/>
      <c r="L48" s="134"/>
    </row>
    <row r="49" ht="16.5" spans="1:12">
      <c r="A49" s="27"/>
      <c r="B49" s="28"/>
      <c r="C49" s="28"/>
      <c r="D49" s="70"/>
      <c r="E49" s="28"/>
      <c r="F49" s="27" t="s">
        <v>114</v>
      </c>
      <c r="G49" s="36" t="s">
        <v>89</v>
      </c>
      <c r="H49" s="36">
        <f>10000</f>
        <v>10000</v>
      </c>
      <c r="I49" s="36">
        <f>0.042*5</f>
        <v>0.21</v>
      </c>
      <c r="J49" s="42">
        <f t="shared" si="3"/>
        <v>2100</v>
      </c>
      <c r="K49" s="135"/>
      <c r="L49" s="135"/>
    </row>
    <row r="50" ht="16.5" spans="1:15">
      <c r="A50" s="27"/>
      <c r="B50" s="28"/>
      <c r="C50" s="28"/>
      <c r="D50" s="70"/>
      <c r="E50" s="93" t="s">
        <v>116</v>
      </c>
      <c r="F50" s="85" t="s">
        <v>117</v>
      </c>
      <c r="G50" s="106" t="s">
        <v>21</v>
      </c>
      <c r="H50" s="106">
        <f>3000+3000+3000</f>
        <v>9000</v>
      </c>
      <c r="I50" s="36">
        <v>0.24</v>
      </c>
      <c r="J50" s="42">
        <f t="shared" si="3"/>
        <v>2160</v>
      </c>
      <c r="K50" s="134"/>
      <c r="L50" s="134" t="s">
        <v>118</v>
      </c>
      <c r="N50" t="s">
        <v>66</v>
      </c>
      <c r="O50" t="s">
        <v>67</v>
      </c>
    </row>
    <row r="51" ht="16.5" spans="1:15">
      <c r="A51" s="27"/>
      <c r="B51" s="28"/>
      <c r="C51" s="28"/>
      <c r="D51" s="70"/>
      <c r="E51" s="100"/>
      <c r="F51" s="85" t="s">
        <v>117</v>
      </c>
      <c r="G51" s="106" t="s">
        <v>21</v>
      </c>
      <c r="H51" s="106">
        <v>2000</v>
      </c>
      <c r="I51" s="36">
        <v>0.24</v>
      </c>
      <c r="J51" s="42">
        <f t="shared" si="3"/>
        <v>480</v>
      </c>
      <c r="K51" s="134"/>
      <c r="L51" s="134"/>
      <c r="M51" s="105">
        <v>7704</v>
      </c>
      <c r="N51">
        <v>7944</v>
      </c>
      <c r="O51">
        <f>M51-N51</f>
        <v>-240</v>
      </c>
    </row>
    <row r="52" ht="16.5" spans="1:12">
      <c r="A52" s="27"/>
      <c r="B52" s="28"/>
      <c r="C52" s="28"/>
      <c r="D52" s="70"/>
      <c r="E52" s="100" t="s">
        <v>119</v>
      </c>
      <c r="F52" s="27" t="s">
        <v>117</v>
      </c>
      <c r="G52" s="122" t="s">
        <v>71</v>
      </c>
      <c r="H52" s="122">
        <f>1200+2000</f>
        <v>3200</v>
      </c>
      <c r="I52" s="36">
        <v>0.24</v>
      </c>
      <c r="J52" s="42">
        <f t="shared" si="3"/>
        <v>768</v>
      </c>
      <c r="K52" s="134"/>
      <c r="L52" s="134"/>
    </row>
    <row r="53" ht="16.5" spans="1:12">
      <c r="A53" s="27"/>
      <c r="B53" s="28"/>
      <c r="C53" s="28"/>
      <c r="D53" s="70"/>
      <c r="E53" s="28" t="s">
        <v>120</v>
      </c>
      <c r="F53" s="27" t="s">
        <v>117</v>
      </c>
      <c r="G53" s="42" t="s">
        <v>71</v>
      </c>
      <c r="H53" s="107">
        <f>6300+6300+6300</f>
        <v>18900</v>
      </c>
      <c r="I53" s="36">
        <v>0.24</v>
      </c>
      <c r="J53" s="42">
        <f t="shared" si="3"/>
        <v>4536</v>
      </c>
      <c r="K53" s="135"/>
      <c r="L53" s="135"/>
    </row>
    <row r="54" ht="16.5" spans="1:12">
      <c r="A54" s="27"/>
      <c r="B54" s="28"/>
      <c r="C54" s="28"/>
      <c r="D54" s="70"/>
      <c r="E54" s="28"/>
      <c r="F54" s="27"/>
      <c r="G54" s="36"/>
      <c r="H54" s="36"/>
      <c r="I54" s="36"/>
      <c r="J54" s="42"/>
      <c r="K54" s="25"/>
      <c r="L54" s="25"/>
    </row>
    <row r="55" spans="1:5">
      <c r="A55" s="27">
        <v>45841</v>
      </c>
      <c r="B55" s="27" t="s">
        <v>39</v>
      </c>
      <c r="C55" s="27" t="s">
        <v>121</v>
      </c>
      <c r="D55" s="83" t="s">
        <v>122</v>
      </c>
      <c r="E55" s="27" t="s">
        <v>123</v>
      </c>
    </row>
    <row r="56" ht="16.5" spans="1:10">
      <c r="A56" s="27"/>
      <c r="B56" s="27"/>
      <c r="C56" s="27"/>
      <c r="D56" s="83"/>
      <c r="E56" s="27"/>
      <c r="F56" s="85" t="s">
        <v>124</v>
      </c>
      <c r="G56" s="36" t="s">
        <v>86</v>
      </c>
      <c r="H56" s="36">
        <v>5150</v>
      </c>
      <c r="I56" s="65">
        <v>1.07</v>
      </c>
      <c r="J56" s="42">
        <f t="shared" ref="J56:J61" si="4">H56*I56</f>
        <v>5510.5</v>
      </c>
    </row>
    <row r="57" ht="16.5" spans="1:10">
      <c r="A57" s="27"/>
      <c r="B57" s="27"/>
      <c r="C57" s="27"/>
      <c r="D57" s="83"/>
      <c r="E57" s="27"/>
      <c r="F57" s="86"/>
      <c r="G57" s="36" t="s">
        <v>88</v>
      </c>
      <c r="H57" s="36">
        <v>52</v>
      </c>
      <c r="I57" s="65">
        <v>0</v>
      </c>
      <c r="J57" s="42">
        <f t="shared" si="4"/>
        <v>0</v>
      </c>
    </row>
    <row r="58" ht="16.5" spans="1:10">
      <c r="A58" s="27"/>
      <c r="B58" s="27"/>
      <c r="C58" s="27"/>
      <c r="D58" s="83"/>
      <c r="E58" s="27"/>
      <c r="F58" s="85" t="s">
        <v>124</v>
      </c>
      <c r="G58" s="36" t="s">
        <v>89</v>
      </c>
      <c r="H58" s="36">
        <f>5000</f>
        <v>5000</v>
      </c>
      <c r="I58" s="36">
        <f>0.042*5</f>
        <v>0.21</v>
      </c>
      <c r="J58" s="42">
        <f t="shared" si="4"/>
        <v>1050</v>
      </c>
    </row>
    <row r="59" ht="16.5" spans="1:10">
      <c r="A59" s="27"/>
      <c r="B59" s="27"/>
      <c r="C59" s="27"/>
      <c r="D59" s="83"/>
      <c r="E59" s="27"/>
      <c r="F59" s="85" t="s">
        <v>124</v>
      </c>
      <c r="G59" s="36" t="s">
        <v>93</v>
      </c>
      <c r="H59" s="36">
        <v>5000</v>
      </c>
      <c r="I59" s="36">
        <v>0.11</v>
      </c>
      <c r="J59" s="42">
        <f t="shared" si="4"/>
        <v>550</v>
      </c>
    </row>
    <row r="60" ht="16.5" spans="1:12">
      <c r="A60" s="27">
        <v>45842</v>
      </c>
      <c r="B60" s="28" t="s">
        <v>39</v>
      </c>
      <c r="C60" s="28" t="s">
        <v>125</v>
      </c>
      <c r="D60" s="70" t="s">
        <v>126</v>
      </c>
      <c r="E60" s="28" t="s">
        <v>127</v>
      </c>
      <c r="F60" s="85" t="s">
        <v>124</v>
      </c>
      <c r="G60" s="42" t="s">
        <v>86</v>
      </c>
      <c r="H60" s="123">
        <v>18334</v>
      </c>
      <c r="I60" s="65">
        <v>1.07</v>
      </c>
      <c r="J60" s="42">
        <f t="shared" si="4"/>
        <v>19617.38</v>
      </c>
      <c r="K60" s="1"/>
      <c r="L60" s="1"/>
    </row>
    <row r="61" ht="16.5" spans="1:12">
      <c r="A61" s="27"/>
      <c r="B61" s="28"/>
      <c r="C61" s="28"/>
      <c r="D61" s="70"/>
      <c r="E61" s="28"/>
      <c r="F61" s="86"/>
      <c r="G61" s="42" t="s">
        <v>88</v>
      </c>
      <c r="H61" s="65">
        <v>183</v>
      </c>
      <c r="I61" s="65">
        <v>0</v>
      </c>
      <c r="J61" s="42">
        <f t="shared" si="4"/>
        <v>0</v>
      </c>
      <c r="K61" s="1"/>
      <c r="L61" s="1"/>
    </row>
    <row r="62" ht="16.5" spans="1:12">
      <c r="A62" s="27"/>
      <c r="B62" s="28"/>
      <c r="C62" s="28"/>
      <c r="D62" s="70"/>
      <c r="E62" s="28"/>
      <c r="F62" s="85" t="s">
        <v>124</v>
      </c>
      <c r="G62" s="36" t="s">
        <v>22</v>
      </c>
      <c r="H62" s="36">
        <v>17800</v>
      </c>
      <c r="I62" s="36">
        <v>0.11</v>
      </c>
      <c r="J62" s="42">
        <f t="shared" ref="J62:J73" si="5">H62*I62</f>
        <v>1958</v>
      </c>
      <c r="K62" s="1"/>
      <c r="L62" s="1"/>
    </row>
    <row r="63" ht="16.5" spans="1:12">
      <c r="A63" s="27"/>
      <c r="B63" s="28"/>
      <c r="C63" s="28"/>
      <c r="D63" s="70"/>
      <c r="E63" s="28"/>
      <c r="F63" s="86"/>
      <c r="G63" s="36" t="s">
        <v>89</v>
      </c>
      <c r="H63" s="36">
        <f>17800</f>
        <v>17800</v>
      </c>
      <c r="I63" s="36">
        <f>0.042*5</f>
        <v>0.21</v>
      </c>
      <c r="J63" s="42">
        <f t="shared" si="5"/>
        <v>3738</v>
      </c>
      <c r="K63" s="1"/>
      <c r="L63" s="1"/>
    </row>
    <row r="64" ht="16.5" spans="1:10">
      <c r="A64" s="27">
        <v>45849</v>
      </c>
      <c r="B64" s="27" t="s">
        <v>39</v>
      </c>
      <c r="C64" s="124">
        <v>85358</v>
      </c>
      <c r="D64" s="83" t="s">
        <v>128</v>
      </c>
      <c r="E64" s="27" t="s">
        <v>129</v>
      </c>
      <c r="F64" s="27" t="s">
        <v>124</v>
      </c>
      <c r="G64" s="36" t="s">
        <v>130</v>
      </c>
      <c r="H64" s="36">
        <f>2000*1.03</f>
        <v>2060</v>
      </c>
      <c r="I64" s="99">
        <v>1.07</v>
      </c>
      <c r="J64" s="42">
        <f t="shared" si="5"/>
        <v>2204.2</v>
      </c>
    </row>
    <row r="65" ht="16.5" spans="1:10">
      <c r="A65" s="27"/>
      <c r="B65" s="27"/>
      <c r="C65" s="84"/>
      <c r="D65" s="83"/>
      <c r="E65" s="27"/>
      <c r="F65" s="27"/>
      <c r="G65" s="36" t="s">
        <v>88</v>
      </c>
      <c r="H65" s="36">
        <f>2000*0.01</f>
        <v>20</v>
      </c>
      <c r="I65" s="99">
        <v>0</v>
      </c>
      <c r="J65" s="42">
        <f t="shared" si="5"/>
        <v>0</v>
      </c>
    </row>
    <row r="66" ht="16.5" spans="1:10">
      <c r="A66" s="27"/>
      <c r="B66" s="27"/>
      <c r="C66" s="84"/>
      <c r="D66" s="83"/>
      <c r="E66" s="27"/>
      <c r="F66" s="86" t="s">
        <v>131</v>
      </c>
      <c r="G66" s="36" t="s">
        <v>89</v>
      </c>
      <c r="H66" s="36">
        <f>2000</f>
        <v>2000</v>
      </c>
      <c r="I66" s="103">
        <f>0.042*5</f>
        <v>0.21</v>
      </c>
      <c r="J66" s="42">
        <f t="shared" si="5"/>
        <v>420</v>
      </c>
    </row>
    <row r="67" ht="16.5" spans="1:10">
      <c r="A67" s="27"/>
      <c r="B67" s="27"/>
      <c r="C67" s="84"/>
      <c r="D67" s="83"/>
      <c r="E67" s="27"/>
      <c r="F67" s="86"/>
      <c r="G67" s="36" t="s">
        <v>93</v>
      </c>
      <c r="H67" s="36">
        <v>2000</v>
      </c>
      <c r="I67" s="103">
        <v>0.11</v>
      </c>
      <c r="J67" s="42">
        <f t="shared" si="5"/>
        <v>220</v>
      </c>
    </row>
    <row r="68" ht="16.5" spans="1:10">
      <c r="A68" s="27">
        <v>45849</v>
      </c>
      <c r="B68" s="28" t="s">
        <v>39</v>
      </c>
      <c r="C68" s="28">
        <v>85359</v>
      </c>
      <c r="D68" s="70" t="s">
        <v>132</v>
      </c>
      <c r="E68" s="28" t="s">
        <v>133</v>
      </c>
      <c r="F68" s="27" t="s">
        <v>124</v>
      </c>
      <c r="G68" s="36" t="s">
        <v>86</v>
      </c>
      <c r="H68" s="36">
        <f>1000*1.03</f>
        <v>1030</v>
      </c>
      <c r="I68" s="103">
        <v>1.07</v>
      </c>
      <c r="J68" s="42">
        <f t="shared" si="5"/>
        <v>1102.1</v>
      </c>
    </row>
    <row r="69" ht="16.5" spans="1:10">
      <c r="A69" s="27"/>
      <c r="B69" s="27"/>
      <c r="C69" s="84"/>
      <c r="D69" s="83"/>
      <c r="E69" s="27"/>
      <c r="F69" s="27"/>
      <c r="G69" s="36" t="s">
        <v>88</v>
      </c>
      <c r="H69" s="36">
        <f>1000*0.01</f>
        <v>10</v>
      </c>
      <c r="I69" s="103">
        <v>0</v>
      </c>
      <c r="J69" s="42">
        <f t="shared" si="5"/>
        <v>0</v>
      </c>
    </row>
    <row r="70" ht="16.5" spans="1:10">
      <c r="A70" s="27"/>
      <c r="B70" s="27"/>
      <c r="C70" s="84"/>
      <c r="D70" s="83"/>
      <c r="E70" s="27"/>
      <c r="F70" s="27" t="s">
        <v>131</v>
      </c>
      <c r="G70" s="36" t="s">
        <v>89</v>
      </c>
      <c r="H70" s="36">
        <f>1000</f>
        <v>1000</v>
      </c>
      <c r="I70" s="103">
        <f>0.042*5</f>
        <v>0.21</v>
      </c>
      <c r="J70" s="42">
        <f t="shared" si="5"/>
        <v>210</v>
      </c>
    </row>
    <row r="71" ht="16.5" spans="1:10">
      <c r="A71" s="27"/>
      <c r="B71" s="28"/>
      <c r="C71" s="28"/>
      <c r="D71" s="70"/>
      <c r="E71" s="28"/>
      <c r="F71" s="27"/>
      <c r="G71" s="36" t="s">
        <v>93</v>
      </c>
      <c r="H71" s="36">
        <f>1000</f>
        <v>1000</v>
      </c>
      <c r="I71" s="103">
        <v>0.11</v>
      </c>
      <c r="J71" s="42">
        <f t="shared" si="5"/>
        <v>110</v>
      </c>
    </row>
    <row r="72" ht="16.5" spans="1:10">
      <c r="A72" s="27">
        <v>45866</v>
      </c>
      <c r="B72" s="124" t="s">
        <v>39</v>
      </c>
      <c r="C72" s="124" t="s">
        <v>134</v>
      </c>
      <c r="D72" s="140" t="s">
        <v>135</v>
      </c>
      <c r="E72" s="124" t="s">
        <v>136</v>
      </c>
      <c r="F72" s="85" t="s">
        <v>137</v>
      </c>
      <c r="G72" s="95" t="s">
        <v>71</v>
      </c>
      <c r="H72" s="99">
        <v>19026</v>
      </c>
      <c r="I72" s="99">
        <v>0.24</v>
      </c>
      <c r="J72" s="42">
        <f t="shared" si="5"/>
        <v>4566.24</v>
      </c>
    </row>
    <row r="73" ht="16.5" spans="1:10">
      <c r="A73" s="27"/>
      <c r="B73" s="124"/>
      <c r="C73" s="124"/>
      <c r="D73" s="140"/>
      <c r="E73" s="124"/>
      <c r="F73" s="86"/>
      <c r="G73" s="95" t="s">
        <v>93</v>
      </c>
      <c r="H73" s="99">
        <v>19026</v>
      </c>
      <c r="I73" s="99">
        <v>0.11</v>
      </c>
      <c r="J73" s="42">
        <f t="shared" si="5"/>
        <v>2092.86</v>
      </c>
    </row>
    <row r="74" ht="16.5" spans="1:10">
      <c r="A74" s="27"/>
      <c r="B74" s="124"/>
      <c r="C74" s="124"/>
      <c r="D74" s="140"/>
      <c r="E74" s="124"/>
      <c r="F74" s="27" t="s">
        <v>138</v>
      </c>
      <c r="G74" s="95" t="s">
        <v>139</v>
      </c>
      <c r="H74" s="96">
        <v>19597</v>
      </c>
      <c r="I74" s="95">
        <v>1.07</v>
      </c>
      <c r="J74" s="42">
        <f t="shared" ref="J74:J98" si="6">H74*I74</f>
        <v>20968.79</v>
      </c>
    </row>
    <row r="75" ht="16.5" spans="1:10">
      <c r="A75" s="27"/>
      <c r="B75" s="124"/>
      <c r="C75" s="124"/>
      <c r="D75" s="140"/>
      <c r="E75" s="124"/>
      <c r="F75" s="27"/>
      <c r="G75" s="95" t="s">
        <v>82</v>
      </c>
      <c r="H75" s="95">
        <v>190</v>
      </c>
      <c r="I75" s="95">
        <v>0</v>
      </c>
      <c r="J75" s="42">
        <f t="shared" si="6"/>
        <v>0</v>
      </c>
    </row>
    <row r="76" ht="16.5" spans="1:10">
      <c r="A76" s="27"/>
      <c r="B76" s="124"/>
      <c r="C76" s="124"/>
      <c r="D76" s="140"/>
      <c r="E76" s="124"/>
      <c r="F76" s="27"/>
      <c r="G76" s="95" t="s">
        <v>83</v>
      </c>
      <c r="H76" s="95">
        <v>55</v>
      </c>
      <c r="I76" s="95">
        <v>0</v>
      </c>
      <c r="J76" s="42">
        <f t="shared" si="6"/>
        <v>0</v>
      </c>
    </row>
    <row r="77" ht="16.5" spans="1:10">
      <c r="A77" s="27"/>
      <c r="B77" s="124"/>
      <c r="C77" s="124"/>
      <c r="D77" s="140"/>
      <c r="E77" s="124"/>
      <c r="F77" s="27" t="s">
        <v>131</v>
      </c>
      <c r="G77" s="103" t="s">
        <v>89</v>
      </c>
      <c r="H77" s="103">
        <f>H73</f>
        <v>19026</v>
      </c>
      <c r="I77" s="103">
        <f>0.042*5</f>
        <v>0.21</v>
      </c>
      <c r="J77" s="42">
        <f t="shared" si="6"/>
        <v>3995.46</v>
      </c>
    </row>
    <row r="78" ht="16.5" spans="1:10">
      <c r="A78" s="27">
        <v>45867</v>
      </c>
      <c r="B78" s="124" t="s">
        <v>39</v>
      </c>
      <c r="C78" s="124" t="s">
        <v>140</v>
      </c>
      <c r="D78" s="140" t="s">
        <v>141</v>
      </c>
      <c r="E78" s="124" t="s">
        <v>142</v>
      </c>
      <c r="F78" s="85" t="s">
        <v>137</v>
      </c>
      <c r="G78" s="95" t="s">
        <v>86</v>
      </c>
      <c r="H78" s="103">
        <v>6490</v>
      </c>
      <c r="I78" s="103">
        <v>1.07</v>
      </c>
      <c r="J78" s="42">
        <f t="shared" si="6"/>
        <v>6944.3</v>
      </c>
    </row>
    <row r="79" ht="16.5" spans="1:10">
      <c r="A79" s="27"/>
      <c r="B79" s="124"/>
      <c r="C79" s="124"/>
      <c r="D79" s="140"/>
      <c r="E79" s="124"/>
      <c r="F79" s="86"/>
      <c r="G79" s="95" t="s">
        <v>88</v>
      </c>
      <c r="H79" s="103">
        <v>65</v>
      </c>
      <c r="I79" s="103">
        <v>0</v>
      </c>
      <c r="J79" s="42">
        <f t="shared" si="6"/>
        <v>0</v>
      </c>
    </row>
    <row r="80" ht="16.5" spans="1:10">
      <c r="A80" s="27"/>
      <c r="B80" s="124"/>
      <c r="C80" s="124"/>
      <c r="D80" s="140"/>
      <c r="E80" s="124"/>
      <c r="F80" s="86"/>
      <c r="G80" s="103" t="s">
        <v>22</v>
      </c>
      <c r="H80" s="103">
        <v>6300</v>
      </c>
      <c r="I80" s="103">
        <v>0.11</v>
      </c>
      <c r="J80" s="42">
        <f t="shared" si="6"/>
        <v>693</v>
      </c>
    </row>
    <row r="81" ht="16.5" spans="1:10">
      <c r="A81" s="27"/>
      <c r="B81" s="124"/>
      <c r="C81" s="124"/>
      <c r="D81" s="140"/>
      <c r="E81" s="124"/>
      <c r="F81" s="86"/>
      <c r="G81" s="103" t="s">
        <v>89</v>
      </c>
      <c r="H81" s="103">
        <f>6300</f>
        <v>6300</v>
      </c>
      <c r="I81" s="103">
        <f>0.042*5</f>
        <v>0.21</v>
      </c>
      <c r="J81" s="42">
        <f t="shared" si="6"/>
        <v>1323</v>
      </c>
    </row>
    <row r="82" ht="16.5" spans="1:10">
      <c r="A82" s="27"/>
      <c r="B82" s="124"/>
      <c r="C82" s="124"/>
      <c r="D82" s="140"/>
      <c r="E82" s="124"/>
      <c r="F82" s="86"/>
      <c r="G82" s="95" t="s">
        <v>71</v>
      </c>
      <c r="H82" s="141">
        <v>17000</v>
      </c>
      <c r="I82" s="103">
        <v>0.24</v>
      </c>
      <c r="J82" s="42">
        <f t="shared" si="6"/>
        <v>4080</v>
      </c>
    </row>
    <row r="83" ht="16.5" spans="1:10">
      <c r="A83" s="27"/>
      <c r="B83" s="124"/>
      <c r="C83" s="124"/>
      <c r="D83" s="140"/>
      <c r="E83" s="124"/>
      <c r="F83" s="86"/>
      <c r="G83" s="95" t="s">
        <v>130</v>
      </c>
      <c r="H83" s="103">
        <v>6489</v>
      </c>
      <c r="I83" s="103">
        <v>1.07</v>
      </c>
      <c r="J83" s="42">
        <f t="shared" si="6"/>
        <v>6943.23</v>
      </c>
    </row>
    <row r="84" ht="16.5" spans="1:10">
      <c r="A84" s="27"/>
      <c r="B84" s="124"/>
      <c r="C84" s="124"/>
      <c r="D84" s="140"/>
      <c r="E84" s="124"/>
      <c r="F84" s="86"/>
      <c r="G84" s="95" t="s">
        <v>88</v>
      </c>
      <c r="H84" s="103">
        <v>63</v>
      </c>
      <c r="I84" s="103">
        <v>0</v>
      </c>
      <c r="J84" s="42">
        <f t="shared" si="6"/>
        <v>0</v>
      </c>
    </row>
    <row r="85" ht="16.5" spans="1:10">
      <c r="A85" s="27"/>
      <c r="B85" s="124"/>
      <c r="C85" s="124"/>
      <c r="D85" s="140"/>
      <c r="E85" s="124"/>
      <c r="F85" s="86"/>
      <c r="G85" s="103" t="s">
        <v>22</v>
      </c>
      <c r="H85" s="103">
        <v>6300</v>
      </c>
      <c r="I85" s="103">
        <v>0.11</v>
      </c>
      <c r="J85" s="42">
        <f t="shared" si="6"/>
        <v>693</v>
      </c>
    </row>
    <row r="86" ht="16.5" spans="1:10">
      <c r="A86" s="27"/>
      <c r="B86" s="124"/>
      <c r="C86" s="124"/>
      <c r="D86" s="140"/>
      <c r="E86" s="124"/>
      <c r="F86" s="113"/>
      <c r="G86" s="103" t="s">
        <v>89</v>
      </c>
      <c r="H86" s="103">
        <f>6300</f>
        <v>6300</v>
      </c>
      <c r="I86" s="103">
        <f>0.042*5</f>
        <v>0.21</v>
      </c>
      <c r="J86" s="42">
        <f t="shared" si="6"/>
        <v>1323</v>
      </c>
    </row>
    <row r="87" ht="16.5" spans="1:10">
      <c r="A87" s="27">
        <v>45849</v>
      </c>
      <c r="B87" s="27" t="s">
        <v>39</v>
      </c>
      <c r="C87" s="84"/>
      <c r="D87" s="83" t="s">
        <v>143</v>
      </c>
      <c r="E87" s="27" t="s">
        <v>144</v>
      </c>
      <c r="F87" s="85" t="s">
        <v>131</v>
      </c>
      <c r="G87" s="36" t="s">
        <v>130</v>
      </c>
      <c r="H87" s="36">
        <v>1062</v>
      </c>
      <c r="I87" s="99">
        <v>1.07</v>
      </c>
      <c r="J87" s="42">
        <f t="shared" si="6"/>
        <v>1136.34</v>
      </c>
    </row>
    <row r="88" ht="16.5" spans="1:10">
      <c r="A88" s="27"/>
      <c r="B88" s="27"/>
      <c r="C88" s="84"/>
      <c r="D88" s="83"/>
      <c r="E88" s="27"/>
      <c r="F88" s="86"/>
      <c r="G88" s="36" t="s">
        <v>88</v>
      </c>
      <c r="H88" s="36">
        <v>11</v>
      </c>
      <c r="I88" s="99">
        <v>0</v>
      </c>
      <c r="J88" s="42">
        <f t="shared" si="6"/>
        <v>0</v>
      </c>
    </row>
    <row r="89" ht="16.5" spans="1:10">
      <c r="A89" s="27">
        <v>45870</v>
      </c>
      <c r="B89" s="27" t="s">
        <v>39</v>
      </c>
      <c r="C89" s="124">
        <v>86578</v>
      </c>
      <c r="D89" s="83" t="s">
        <v>145</v>
      </c>
      <c r="E89" s="27" t="s">
        <v>146</v>
      </c>
      <c r="F89" s="85" t="s">
        <v>137</v>
      </c>
      <c r="G89" s="36" t="s">
        <v>86</v>
      </c>
      <c r="H89" s="36">
        <v>3264</v>
      </c>
      <c r="I89" s="99">
        <v>1.07</v>
      </c>
      <c r="J89" s="42">
        <f t="shared" si="6"/>
        <v>3492.48</v>
      </c>
    </row>
    <row r="90" ht="16.5" spans="1:10">
      <c r="A90" s="27"/>
      <c r="B90" s="27"/>
      <c r="C90" s="84"/>
      <c r="D90" s="83"/>
      <c r="E90" s="27"/>
      <c r="F90" s="86"/>
      <c r="G90" s="36" t="s">
        <v>88</v>
      </c>
      <c r="H90" s="36">
        <v>33</v>
      </c>
      <c r="I90" s="99">
        <v>0</v>
      </c>
      <c r="J90" s="42">
        <f t="shared" si="6"/>
        <v>0</v>
      </c>
    </row>
    <row r="91" ht="16.5" spans="1:10">
      <c r="A91" s="27"/>
      <c r="B91" s="27"/>
      <c r="C91" s="84"/>
      <c r="D91" s="83"/>
      <c r="E91" s="27"/>
      <c r="F91" s="86"/>
      <c r="G91" s="36" t="s">
        <v>147</v>
      </c>
      <c r="H91" s="36">
        <v>30</v>
      </c>
      <c r="I91" s="99">
        <v>0</v>
      </c>
      <c r="J91" s="42">
        <f t="shared" si="6"/>
        <v>0</v>
      </c>
    </row>
    <row r="92" ht="16.5" spans="1:10">
      <c r="A92" s="27"/>
      <c r="B92" s="27"/>
      <c r="C92" s="84"/>
      <c r="D92" s="83"/>
      <c r="E92" s="27"/>
      <c r="F92" s="86"/>
      <c r="G92" s="36" t="s">
        <v>22</v>
      </c>
      <c r="H92" s="36">
        <v>3000</v>
      </c>
      <c r="I92" s="103">
        <v>0.11</v>
      </c>
      <c r="J92" s="42">
        <f t="shared" si="6"/>
        <v>330</v>
      </c>
    </row>
    <row r="93" ht="16.5" spans="1:10">
      <c r="A93" s="27"/>
      <c r="B93" s="27"/>
      <c r="C93" s="84"/>
      <c r="D93" s="83"/>
      <c r="E93" s="27"/>
      <c r="F93" s="113"/>
      <c r="G93" s="36" t="s">
        <v>89</v>
      </c>
      <c r="H93" s="36">
        <v>3000</v>
      </c>
      <c r="I93" s="103">
        <f>0.042*5</f>
        <v>0.21</v>
      </c>
      <c r="J93" s="42">
        <f t="shared" si="6"/>
        <v>630</v>
      </c>
    </row>
    <row r="94" ht="16.5" spans="1:10">
      <c r="A94" s="27">
        <v>45876</v>
      </c>
      <c r="B94" s="28" t="s">
        <v>39</v>
      </c>
      <c r="C94" s="28">
        <v>40061</v>
      </c>
      <c r="D94" s="70" t="s">
        <v>148</v>
      </c>
      <c r="E94" s="28" t="s">
        <v>149</v>
      </c>
      <c r="F94" s="27" t="s">
        <v>150</v>
      </c>
      <c r="G94" s="42" t="s">
        <v>139</v>
      </c>
      <c r="H94" s="42">
        <v>6180</v>
      </c>
      <c r="I94" s="95">
        <v>1.07</v>
      </c>
      <c r="J94" s="42">
        <f t="shared" si="6"/>
        <v>6612.6</v>
      </c>
    </row>
    <row r="95" ht="16.5" spans="1:10">
      <c r="A95" s="27"/>
      <c r="B95" s="28"/>
      <c r="C95" s="28"/>
      <c r="D95" s="70"/>
      <c r="E95" s="28"/>
      <c r="F95" s="27"/>
      <c r="G95" s="42" t="s">
        <v>82</v>
      </c>
      <c r="H95" s="42">
        <v>60</v>
      </c>
      <c r="I95" s="95">
        <v>0</v>
      </c>
      <c r="J95" s="42">
        <f t="shared" si="6"/>
        <v>0</v>
      </c>
    </row>
    <row r="96" ht="16.5" spans="1:10">
      <c r="A96" s="27"/>
      <c r="B96" s="28"/>
      <c r="C96" s="28"/>
      <c r="D96" s="70"/>
      <c r="E96" s="28"/>
      <c r="F96" s="27"/>
      <c r="G96" s="42" t="s">
        <v>83</v>
      </c>
      <c r="H96" s="42">
        <v>30</v>
      </c>
      <c r="I96" s="95">
        <v>0</v>
      </c>
      <c r="J96" s="42">
        <f t="shared" si="6"/>
        <v>0</v>
      </c>
    </row>
    <row r="97" ht="16.5" spans="1:10">
      <c r="A97" s="27"/>
      <c r="B97" s="28"/>
      <c r="C97" s="28"/>
      <c r="D97" s="70"/>
      <c r="E97" s="28"/>
      <c r="F97" s="27"/>
      <c r="G97" s="36" t="s">
        <v>89</v>
      </c>
      <c r="H97" s="36">
        <v>6000</v>
      </c>
      <c r="I97" s="103">
        <f>0.042*5</f>
        <v>0.21</v>
      </c>
      <c r="J97" s="42">
        <f t="shared" si="6"/>
        <v>1260</v>
      </c>
    </row>
    <row r="98" ht="16.5" spans="1:10">
      <c r="A98" s="27"/>
      <c r="B98" s="28"/>
      <c r="C98" s="28"/>
      <c r="D98" s="70"/>
      <c r="E98" s="28"/>
      <c r="F98" s="27"/>
      <c r="G98" s="42" t="s">
        <v>93</v>
      </c>
      <c r="H98" s="36">
        <v>6000</v>
      </c>
      <c r="I98" s="103">
        <v>0.11</v>
      </c>
      <c r="J98" s="42">
        <f t="shared" si="6"/>
        <v>660</v>
      </c>
    </row>
    <row r="99" ht="16.5" spans="10:10">
      <c r="J99" s="104">
        <f>SUM(J3:J98)</f>
        <v>220618.817</v>
      </c>
    </row>
  </sheetData>
  <autoFilter xmlns:etc="http://www.wps.cn/officeDocument/2017/etCustomData" ref="A1:J99" etc:filterBottomFollowUsedRange="0">
    <extLst/>
  </autoFilter>
  <mergeCells count="122">
    <mergeCell ref="A1:J1"/>
    <mergeCell ref="A3:A6"/>
    <mergeCell ref="A8:A10"/>
    <mergeCell ref="A12:A15"/>
    <mergeCell ref="A17:A24"/>
    <mergeCell ref="A25:A30"/>
    <mergeCell ref="A32:A35"/>
    <mergeCell ref="A38:A44"/>
    <mergeCell ref="A45:A49"/>
    <mergeCell ref="A55:A59"/>
    <mergeCell ref="A60:A63"/>
    <mergeCell ref="A64:A67"/>
    <mergeCell ref="A68:A71"/>
    <mergeCell ref="A72:A77"/>
    <mergeCell ref="A78:A86"/>
    <mergeCell ref="A87:A88"/>
    <mergeCell ref="A89:A93"/>
    <mergeCell ref="A94:A98"/>
    <mergeCell ref="B3:B6"/>
    <mergeCell ref="B8:B10"/>
    <mergeCell ref="B12:B15"/>
    <mergeCell ref="B17:B24"/>
    <mergeCell ref="B25:B30"/>
    <mergeCell ref="B32:B35"/>
    <mergeCell ref="B38:B44"/>
    <mergeCell ref="B45:B49"/>
    <mergeCell ref="B55:B59"/>
    <mergeCell ref="B60:B63"/>
    <mergeCell ref="B64:B67"/>
    <mergeCell ref="B68:B71"/>
    <mergeCell ref="B72:B77"/>
    <mergeCell ref="B78:B86"/>
    <mergeCell ref="B87:B88"/>
    <mergeCell ref="B89:B93"/>
    <mergeCell ref="B94:B98"/>
    <mergeCell ref="C3:C6"/>
    <mergeCell ref="C8:C10"/>
    <mergeCell ref="C12:C15"/>
    <mergeCell ref="C17:C24"/>
    <mergeCell ref="C25:C30"/>
    <mergeCell ref="C32:C35"/>
    <mergeCell ref="C38:C44"/>
    <mergeCell ref="C45:C49"/>
    <mergeCell ref="C55:C59"/>
    <mergeCell ref="C60:C63"/>
    <mergeCell ref="C64:C67"/>
    <mergeCell ref="C68:C71"/>
    <mergeCell ref="C72:C77"/>
    <mergeCell ref="C78:C86"/>
    <mergeCell ref="C87:C88"/>
    <mergeCell ref="C89:C93"/>
    <mergeCell ref="C94:C98"/>
    <mergeCell ref="D3:D6"/>
    <mergeCell ref="D8:D10"/>
    <mergeCell ref="D12:D15"/>
    <mergeCell ref="D17:D24"/>
    <mergeCell ref="D25:D30"/>
    <mergeCell ref="D32:D35"/>
    <mergeCell ref="D38:D44"/>
    <mergeCell ref="D45:D49"/>
    <mergeCell ref="D55:D59"/>
    <mergeCell ref="D60:D63"/>
    <mergeCell ref="D64:D67"/>
    <mergeCell ref="D68:D71"/>
    <mergeCell ref="D72:D77"/>
    <mergeCell ref="D78:D86"/>
    <mergeCell ref="D87:D88"/>
    <mergeCell ref="D89:D93"/>
    <mergeCell ref="D94:D98"/>
    <mergeCell ref="E3:E6"/>
    <mergeCell ref="E8:E10"/>
    <mergeCell ref="E12:E15"/>
    <mergeCell ref="E17:E24"/>
    <mergeCell ref="E25:E30"/>
    <mergeCell ref="E32:E35"/>
    <mergeCell ref="E38:E44"/>
    <mergeCell ref="E45:E49"/>
    <mergeCell ref="E50:E51"/>
    <mergeCell ref="E55:E59"/>
    <mergeCell ref="E60:E63"/>
    <mergeCell ref="E64:E67"/>
    <mergeCell ref="E68:E71"/>
    <mergeCell ref="E72:E77"/>
    <mergeCell ref="E78:E86"/>
    <mergeCell ref="E87:E88"/>
    <mergeCell ref="E89:E93"/>
    <mergeCell ref="E94:E98"/>
    <mergeCell ref="F3:F6"/>
    <mergeCell ref="F8:F10"/>
    <mergeCell ref="F12:F15"/>
    <mergeCell ref="F17:F24"/>
    <mergeCell ref="F25:F30"/>
    <mergeCell ref="F34:F35"/>
    <mergeCell ref="F38:F39"/>
    <mergeCell ref="F40:F41"/>
    <mergeCell ref="F45:F46"/>
    <mergeCell ref="F47:F48"/>
    <mergeCell ref="F56:F57"/>
    <mergeCell ref="F60:F61"/>
    <mergeCell ref="F62:F63"/>
    <mergeCell ref="F64:F65"/>
    <mergeCell ref="F66:F67"/>
    <mergeCell ref="F68:F69"/>
    <mergeCell ref="F70:F71"/>
    <mergeCell ref="F72:F73"/>
    <mergeCell ref="F74:F76"/>
    <mergeCell ref="F78:F86"/>
    <mergeCell ref="F87:F88"/>
    <mergeCell ref="F89:F93"/>
    <mergeCell ref="F94:F98"/>
    <mergeCell ref="K8:K15"/>
    <mergeCell ref="K17:K24"/>
    <mergeCell ref="K25:K30"/>
    <mergeCell ref="K32:K36"/>
    <mergeCell ref="K45:K49"/>
    <mergeCell ref="K50:K53"/>
    <mergeCell ref="L8:L15"/>
    <mergeCell ref="L17:L24"/>
    <mergeCell ref="L25:L30"/>
    <mergeCell ref="L32:L36"/>
    <mergeCell ref="L45:L49"/>
    <mergeCell ref="L50:L53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workbookViewId="0">
      <selection activeCell="G32" sqref="G32"/>
    </sheetView>
  </sheetViews>
  <sheetFormatPr defaultColWidth="8.71818181818182" defaultRowHeight="14"/>
  <cols>
    <col min="1" max="1" width="13.1818181818182" customWidth="1"/>
    <col min="2" max="2" width="10.7181818181818" customWidth="1"/>
    <col min="3" max="3" width="8.28181818181818" style="24" customWidth="1"/>
    <col min="4" max="4" width="22.4636363636364" customWidth="1"/>
    <col min="5" max="5" width="38.3727272727273" customWidth="1"/>
    <col min="6" max="6" width="17.3727272727273" style="25" customWidth="1"/>
    <col min="7" max="7" width="57.9090909090909" customWidth="1"/>
    <col min="8" max="8" width="9.45454545454546" customWidth="1"/>
    <col min="9" max="9" width="12.3727272727273" customWidth="1"/>
    <col min="10" max="10" width="11.5454545454545" customWidth="1"/>
    <col min="12" max="12" width="10.5454545454545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41" t="s">
        <v>151</v>
      </c>
    </row>
    <row r="3" ht="33" hidden="1" spans="1:10">
      <c r="A3" s="79">
        <v>45761</v>
      </c>
      <c r="B3" s="66" t="s">
        <v>39</v>
      </c>
      <c r="C3" s="66">
        <v>76382</v>
      </c>
      <c r="D3" s="80" t="s">
        <v>152</v>
      </c>
      <c r="E3" s="66" t="s">
        <v>153</v>
      </c>
      <c r="F3" s="81" t="s">
        <v>154</v>
      </c>
      <c r="G3" s="82" t="s">
        <v>155</v>
      </c>
      <c r="H3" s="82">
        <v>201</v>
      </c>
      <c r="I3" s="82">
        <v>0.007</v>
      </c>
      <c r="J3" s="82">
        <f>H3*I3</f>
        <v>1.407</v>
      </c>
    </row>
    <row r="4" ht="16" customHeight="1" spans="1:10">
      <c r="A4" s="27">
        <v>45755</v>
      </c>
      <c r="B4" s="27" t="s">
        <v>39</v>
      </c>
      <c r="C4" s="27" t="s">
        <v>156</v>
      </c>
      <c r="D4" s="83" t="s">
        <v>157</v>
      </c>
      <c r="E4" s="27" t="s">
        <v>158</v>
      </c>
      <c r="F4" s="27" t="s">
        <v>159</v>
      </c>
      <c r="G4" s="36" t="s">
        <v>160</v>
      </c>
      <c r="H4" s="36">
        <f>5926</f>
        <v>5926</v>
      </c>
      <c r="I4" s="36">
        <f>0.007*2</f>
        <v>0.014</v>
      </c>
      <c r="J4" s="102">
        <f>H4*I4</f>
        <v>82.964</v>
      </c>
    </row>
    <row r="5" ht="16" customHeight="1" spans="1:10">
      <c r="A5" s="27"/>
      <c r="B5" s="27"/>
      <c r="C5" s="27"/>
      <c r="D5" s="83"/>
      <c r="E5" s="27"/>
      <c r="F5" s="27" t="s">
        <v>161</v>
      </c>
      <c r="G5" s="36" t="s">
        <v>162</v>
      </c>
      <c r="H5" s="36">
        <f>58</f>
        <v>58</v>
      </c>
      <c r="I5" s="36">
        <v>0</v>
      </c>
      <c r="J5" s="36">
        <f>H5*I5</f>
        <v>0</v>
      </c>
    </row>
    <row r="6" ht="16.5" spans="1:10">
      <c r="A6" s="27">
        <v>45825</v>
      </c>
      <c r="B6" s="27" t="s">
        <v>39</v>
      </c>
      <c r="C6" s="84" t="s">
        <v>90</v>
      </c>
      <c r="D6" s="83" t="s">
        <v>91</v>
      </c>
      <c r="E6" s="27" t="s">
        <v>92</v>
      </c>
      <c r="F6" s="85">
        <v>45833</v>
      </c>
      <c r="G6" s="36" t="s">
        <v>21</v>
      </c>
      <c r="H6" s="36">
        <v>1200</v>
      </c>
      <c r="I6" s="36">
        <v>0.039</v>
      </c>
      <c r="J6" s="36">
        <f>H6*I6</f>
        <v>46.8</v>
      </c>
    </row>
    <row r="7" ht="16.5" spans="1:10">
      <c r="A7" s="27"/>
      <c r="B7" s="27"/>
      <c r="C7" s="84"/>
      <c r="D7" s="83"/>
      <c r="E7" s="27"/>
      <c r="F7" s="86"/>
      <c r="G7" s="36" t="s">
        <v>163</v>
      </c>
      <c r="H7" s="36">
        <f>H6*0.01</f>
        <v>12</v>
      </c>
      <c r="I7" s="36">
        <v>0</v>
      </c>
      <c r="J7" s="36">
        <v>0</v>
      </c>
    </row>
    <row r="8" ht="16.5" spans="1:11">
      <c r="A8" s="87">
        <v>45832</v>
      </c>
      <c r="B8" s="87" t="s">
        <v>39</v>
      </c>
      <c r="C8" s="88">
        <v>78832</v>
      </c>
      <c r="D8" s="89" t="s">
        <v>164</v>
      </c>
      <c r="E8" s="87" t="s">
        <v>165</v>
      </c>
      <c r="F8" s="90">
        <v>45845</v>
      </c>
      <c r="G8" s="42" t="s">
        <v>21</v>
      </c>
      <c r="H8" s="42">
        <v>3500</v>
      </c>
      <c r="I8" s="42">
        <v>0.039</v>
      </c>
      <c r="J8" s="42">
        <f>H8*I8</f>
        <v>136.5</v>
      </c>
      <c r="K8">
        <f>H6+H8+H10+H13</f>
        <v>9700</v>
      </c>
    </row>
    <row r="9" ht="16.5" spans="1:10">
      <c r="A9" s="87"/>
      <c r="B9" s="87"/>
      <c r="C9" s="91"/>
      <c r="D9" s="89"/>
      <c r="E9" s="87"/>
      <c r="F9" s="92"/>
      <c r="G9" s="42" t="s">
        <v>163</v>
      </c>
      <c r="H9" s="42">
        <f>H8*0.01</f>
        <v>35</v>
      </c>
      <c r="I9" s="42">
        <v>0</v>
      </c>
      <c r="J9" s="42">
        <v>0</v>
      </c>
    </row>
    <row r="10" ht="16.5" spans="1:10">
      <c r="A10" s="27">
        <v>45848</v>
      </c>
      <c r="B10" s="28" t="s">
        <v>39</v>
      </c>
      <c r="C10" s="28" t="s">
        <v>166</v>
      </c>
      <c r="D10" s="70" t="s">
        <v>167</v>
      </c>
      <c r="E10" s="28" t="s">
        <v>168</v>
      </c>
      <c r="F10" s="27">
        <v>45855</v>
      </c>
      <c r="G10" s="42" t="s">
        <v>71</v>
      </c>
      <c r="H10" s="42">
        <v>2000</v>
      </c>
      <c r="I10" s="42">
        <v>0.039</v>
      </c>
      <c r="J10" s="36">
        <f>H10*I10</f>
        <v>78</v>
      </c>
    </row>
    <row r="11" ht="16.5" spans="1:10">
      <c r="A11" s="27"/>
      <c r="B11" s="28"/>
      <c r="C11" s="28"/>
      <c r="D11" s="70"/>
      <c r="E11" s="28"/>
      <c r="F11" s="27"/>
      <c r="G11" s="42" t="s">
        <v>163</v>
      </c>
      <c r="H11" s="42">
        <f>H10*0.01</f>
        <v>20</v>
      </c>
      <c r="I11" s="36">
        <v>0</v>
      </c>
      <c r="J11" s="36">
        <f t="shared" ref="J11:J20" si="0">H11*I11</f>
        <v>0</v>
      </c>
    </row>
    <row r="12" ht="16.5" spans="1:10">
      <c r="A12" s="27"/>
      <c r="B12" s="28"/>
      <c r="C12" s="28"/>
      <c r="D12" s="70"/>
      <c r="E12" s="28"/>
      <c r="F12" s="27">
        <v>45853</v>
      </c>
      <c r="G12" s="36" t="s">
        <v>89</v>
      </c>
      <c r="H12" s="36">
        <f>3200</f>
        <v>3200</v>
      </c>
      <c r="I12" s="36">
        <f>0.007*5</f>
        <v>0.035</v>
      </c>
      <c r="J12" s="36">
        <f t="shared" si="0"/>
        <v>112</v>
      </c>
    </row>
    <row r="13" ht="16.5" spans="1:10">
      <c r="A13" s="87">
        <v>45848</v>
      </c>
      <c r="B13" s="87" t="s">
        <v>39</v>
      </c>
      <c r="C13" s="88">
        <v>79777</v>
      </c>
      <c r="D13" s="89" t="s">
        <v>169</v>
      </c>
      <c r="E13" s="87" t="s">
        <v>170</v>
      </c>
      <c r="F13" s="87">
        <v>45857</v>
      </c>
      <c r="G13" s="42" t="s">
        <v>21</v>
      </c>
      <c r="H13" s="42">
        <v>3000</v>
      </c>
      <c r="I13" s="42">
        <v>0.039</v>
      </c>
      <c r="J13" s="36">
        <f t="shared" si="0"/>
        <v>117</v>
      </c>
    </row>
    <row r="14" ht="16.5" spans="1:10">
      <c r="A14" s="87"/>
      <c r="B14" s="87"/>
      <c r="C14" s="91"/>
      <c r="D14" s="89"/>
      <c r="E14" s="87"/>
      <c r="F14" s="87"/>
      <c r="G14" s="42" t="s">
        <v>163</v>
      </c>
      <c r="H14" s="42">
        <f>3000*0.01</f>
        <v>30</v>
      </c>
      <c r="I14" s="42">
        <v>0</v>
      </c>
      <c r="J14" s="36">
        <f t="shared" si="0"/>
        <v>0</v>
      </c>
    </row>
    <row r="15" ht="16.5" spans="1:10">
      <c r="A15" s="27">
        <v>45866</v>
      </c>
      <c r="B15" s="28" t="s">
        <v>39</v>
      </c>
      <c r="C15" s="93">
        <v>84011</v>
      </c>
      <c r="D15" s="94" t="s">
        <v>171</v>
      </c>
      <c r="E15" s="93" t="s">
        <v>172</v>
      </c>
      <c r="F15" s="27" t="s">
        <v>137</v>
      </c>
      <c r="G15" s="95" t="s">
        <v>173</v>
      </c>
      <c r="H15" s="96">
        <v>750</v>
      </c>
      <c r="I15" s="103">
        <v>0.034</v>
      </c>
      <c r="J15" s="36">
        <f t="shared" si="0"/>
        <v>25.5</v>
      </c>
    </row>
    <row r="16" ht="16.5" spans="1:10">
      <c r="A16" s="27"/>
      <c r="B16" s="28"/>
      <c r="C16" s="97"/>
      <c r="D16" s="98"/>
      <c r="E16" s="97"/>
      <c r="F16" s="27"/>
      <c r="G16" s="95" t="s">
        <v>174</v>
      </c>
      <c r="H16" s="99">
        <v>8</v>
      </c>
      <c r="I16" s="99">
        <v>0</v>
      </c>
      <c r="J16" s="36">
        <f t="shared" si="0"/>
        <v>0</v>
      </c>
    </row>
    <row r="17" ht="16.5" spans="1:10">
      <c r="A17" s="27"/>
      <c r="B17" s="28"/>
      <c r="C17" s="97"/>
      <c r="D17" s="98"/>
      <c r="E17" s="97"/>
      <c r="F17" s="27" t="s">
        <v>175</v>
      </c>
      <c r="G17" s="95" t="s">
        <v>176</v>
      </c>
      <c r="H17" s="96">
        <v>750</v>
      </c>
      <c r="I17" s="99">
        <v>0.026</v>
      </c>
      <c r="J17" s="36">
        <f t="shared" si="0"/>
        <v>19.5</v>
      </c>
    </row>
    <row r="18" ht="16.5" spans="1:10">
      <c r="A18" s="27"/>
      <c r="B18" s="28"/>
      <c r="C18" s="100"/>
      <c r="D18" s="101"/>
      <c r="E18" s="100"/>
      <c r="F18" s="27"/>
      <c r="G18" s="95" t="s">
        <v>177</v>
      </c>
      <c r="H18" s="99">
        <v>8</v>
      </c>
      <c r="I18" s="99">
        <v>0</v>
      </c>
      <c r="J18" s="36">
        <f t="shared" si="0"/>
        <v>0</v>
      </c>
    </row>
    <row r="19" ht="16.5" spans="1:10">
      <c r="A19" s="27">
        <v>45883</v>
      </c>
      <c r="B19" s="28" t="s">
        <v>39</v>
      </c>
      <c r="C19" s="28" t="s">
        <v>43</v>
      </c>
      <c r="D19" s="70" t="s">
        <v>178</v>
      </c>
      <c r="E19" s="28" t="s">
        <v>179</v>
      </c>
      <c r="F19" s="27" t="s">
        <v>180</v>
      </c>
      <c r="G19" s="42" t="s">
        <v>181</v>
      </c>
      <c r="H19" s="36">
        <v>15470</v>
      </c>
      <c r="I19" s="103">
        <v>0.06</v>
      </c>
      <c r="J19" s="36">
        <f t="shared" si="0"/>
        <v>928.2</v>
      </c>
    </row>
    <row r="20" ht="16.5" spans="1:10">
      <c r="A20" s="27"/>
      <c r="B20" s="28"/>
      <c r="C20" s="28"/>
      <c r="D20" s="70"/>
      <c r="E20" s="28"/>
      <c r="F20" s="27"/>
      <c r="G20" s="42" t="s">
        <v>182</v>
      </c>
      <c r="H20" s="36">
        <v>773</v>
      </c>
      <c r="I20" s="103">
        <v>0</v>
      </c>
      <c r="J20" s="36">
        <f t="shared" si="0"/>
        <v>0</v>
      </c>
    </row>
    <row r="21" ht="16.5" spans="10:10">
      <c r="J21" s="104">
        <f>SUM(J4:J20)</f>
        <v>1546.464</v>
      </c>
    </row>
  </sheetData>
  <autoFilter xmlns:etc="http://www.wps.cn/officeDocument/2017/etCustomData" ref="A1:J21" etc:filterBottomFollowUsedRange="0">
    <extLst/>
  </autoFilter>
  <mergeCells count="43">
    <mergeCell ref="A1:J1"/>
    <mergeCell ref="A4:A5"/>
    <mergeCell ref="A6:A7"/>
    <mergeCell ref="A8:A9"/>
    <mergeCell ref="A10:A12"/>
    <mergeCell ref="A13:A14"/>
    <mergeCell ref="A15:A18"/>
    <mergeCell ref="A19:A20"/>
    <mergeCell ref="B4:B5"/>
    <mergeCell ref="B6:B7"/>
    <mergeCell ref="B8:B9"/>
    <mergeCell ref="B10:B12"/>
    <mergeCell ref="B13:B14"/>
    <mergeCell ref="B15:B18"/>
    <mergeCell ref="B19:B20"/>
    <mergeCell ref="C4:C5"/>
    <mergeCell ref="C6:C7"/>
    <mergeCell ref="C8:C9"/>
    <mergeCell ref="C10:C12"/>
    <mergeCell ref="C13:C14"/>
    <mergeCell ref="C15:C18"/>
    <mergeCell ref="C19:C20"/>
    <mergeCell ref="D4:D5"/>
    <mergeCell ref="D6:D7"/>
    <mergeCell ref="D8:D9"/>
    <mergeCell ref="D10:D12"/>
    <mergeCell ref="D13:D14"/>
    <mergeCell ref="D15:D18"/>
    <mergeCell ref="D19:D20"/>
    <mergeCell ref="E4:E5"/>
    <mergeCell ref="E6:E7"/>
    <mergeCell ref="E8:E9"/>
    <mergeCell ref="E10:E12"/>
    <mergeCell ref="E13:E14"/>
    <mergeCell ref="E15:E18"/>
    <mergeCell ref="E19:E20"/>
    <mergeCell ref="F6:F7"/>
    <mergeCell ref="F8:F9"/>
    <mergeCell ref="F10:F11"/>
    <mergeCell ref="F13:F14"/>
    <mergeCell ref="F15:F16"/>
    <mergeCell ref="F17:F18"/>
    <mergeCell ref="F19:F20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9"/>
  <sheetViews>
    <sheetView workbookViewId="0">
      <selection activeCell="D11" sqref="D11"/>
    </sheetView>
  </sheetViews>
  <sheetFormatPr defaultColWidth="8.89090909090909" defaultRowHeight="14" outlineLevelCol="3"/>
  <sheetData>
    <row r="1" spans="2:4">
      <c r="B1" s="25">
        <v>3606</v>
      </c>
      <c r="C1" s="25"/>
      <c r="D1" s="25"/>
    </row>
    <row r="2" spans="3:3">
      <c r="C2" t="s">
        <v>183</v>
      </c>
    </row>
    <row r="3" spans="2:4">
      <c r="B3" t="e">
        <f>'8月Adela-国内'!H10+'8月Adela-国内'!H50+'8月Adela-国内'!#REF!+'8月Adela-国内'!#REF!</f>
        <v>#REF!</v>
      </c>
      <c r="C3">
        <v>13700</v>
      </c>
      <c r="D3" t="e">
        <f>SUM(B3:C3)</f>
        <v>#REF!</v>
      </c>
    </row>
    <row r="4" spans="2:3">
      <c r="B4" t="s">
        <v>184</v>
      </c>
      <c r="C4">
        <v>6800</v>
      </c>
    </row>
    <row r="5" spans="2:3">
      <c r="B5" t="s">
        <v>185</v>
      </c>
      <c r="C5">
        <v>10000</v>
      </c>
    </row>
    <row r="6" spans="2:3">
      <c r="B6" t="s">
        <v>186</v>
      </c>
      <c r="C6">
        <v>5826</v>
      </c>
    </row>
    <row r="7" spans="3:3">
      <c r="C7">
        <v>11000</v>
      </c>
    </row>
    <row r="8" spans="2:3">
      <c r="B8" t="s">
        <v>187</v>
      </c>
      <c r="C8">
        <v>1377</v>
      </c>
    </row>
    <row r="9" spans="2:3">
      <c r="B9" t="s">
        <v>188</v>
      </c>
      <c r="C9">
        <v>6000</v>
      </c>
    </row>
  </sheetData>
  <mergeCells count="1">
    <mergeCell ref="B1:D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G25" sqref="G25"/>
    </sheetView>
  </sheetViews>
  <sheetFormatPr defaultColWidth="8.71818181818182" defaultRowHeight="14"/>
  <cols>
    <col min="1" max="1" width="13.1818181818182" customWidth="1"/>
    <col min="2" max="2" width="10.7181818181818" customWidth="1"/>
    <col min="3" max="3" width="8.28181818181818" style="24" customWidth="1"/>
    <col min="4" max="4" width="22.4636363636364" customWidth="1"/>
    <col min="5" max="5" width="33.6272727272727" customWidth="1"/>
    <col min="6" max="6" width="17.3727272727273" style="25" customWidth="1"/>
    <col min="7" max="7" width="56.0909090909091" customWidth="1"/>
    <col min="8" max="8" width="9.45454545454546" customWidth="1"/>
    <col min="9" max="9" width="12.3727272727273" customWidth="1"/>
    <col min="10" max="10" width="11.5454545454545" customWidth="1"/>
    <col min="12" max="12" width="10.5454545454545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41" t="s">
        <v>51</v>
      </c>
    </row>
    <row r="3" ht="16.5" spans="1:10">
      <c r="A3" s="27">
        <v>45730</v>
      </c>
      <c r="B3" s="28" t="s">
        <v>189</v>
      </c>
      <c r="C3" s="28" t="s">
        <v>190</v>
      </c>
      <c r="D3" s="70" t="s">
        <v>191</v>
      </c>
      <c r="E3" s="28" t="s">
        <v>192</v>
      </c>
      <c r="F3" s="64" t="s">
        <v>193</v>
      </c>
      <c r="G3" s="42" t="s">
        <v>194</v>
      </c>
      <c r="H3" s="71">
        <f>32000*1.02</f>
        <v>32640</v>
      </c>
      <c r="I3" s="65">
        <v>1.07</v>
      </c>
      <c r="J3" s="65">
        <f t="shared" ref="J3:J19" si="0">H3*I3</f>
        <v>34924.8</v>
      </c>
    </row>
    <row r="4" ht="16.5" spans="1:10">
      <c r="A4" s="27"/>
      <c r="B4" s="28"/>
      <c r="C4" s="28"/>
      <c r="D4" s="70"/>
      <c r="E4" s="28"/>
      <c r="F4" s="67"/>
      <c r="G4" s="42" t="s">
        <v>88</v>
      </c>
      <c r="H4" s="71">
        <v>320</v>
      </c>
      <c r="I4" s="65">
        <v>0</v>
      </c>
      <c r="J4" s="65">
        <f t="shared" si="0"/>
        <v>0</v>
      </c>
    </row>
    <row r="5" ht="16.5" spans="1:10">
      <c r="A5" s="27"/>
      <c r="B5" s="28"/>
      <c r="C5" s="28"/>
      <c r="D5" s="70"/>
      <c r="E5" s="28"/>
      <c r="F5" s="67"/>
      <c r="G5" s="28" t="s">
        <v>147</v>
      </c>
      <c r="H5" s="71">
        <f>2*5*5+5</f>
        <v>55</v>
      </c>
      <c r="I5" s="65">
        <v>0</v>
      </c>
      <c r="J5" s="65">
        <f t="shared" si="0"/>
        <v>0</v>
      </c>
    </row>
    <row r="6" ht="16.5" spans="1:10">
      <c r="A6" s="27"/>
      <c r="B6" s="28"/>
      <c r="C6" s="28"/>
      <c r="D6" s="70"/>
      <c r="E6" s="28"/>
      <c r="F6" s="67"/>
      <c r="G6" s="42" t="s">
        <v>71</v>
      </c>
      <c r="H6" s="71">
        <f>8000+8000+8000+8000</f>
        <v>32000</v>
      </c>
      <c r="I6" s="36">
        <v>0.28</v>
      </c>
      <c r="J6" s="65">
        <f t="shared" si="0"/>
        <v>8960</v>
      </c>
    </row>
    <row r="7" ht="16.5" spans="1:10">
      <c r="A7" s="27"/>
      <c r="B7" s="28"/>
      <c r="C7" s="28"/>
      <c r="D7" s="70"/>
      <c r="E7" s="28"/>
      <c r="F7" s="67"/>
      <c r="G7" s="36" t="s">
        <v>22</v>
      </c>
      <c r="H7" s="71">
        <f>8000+8000+8000+8000</f>
        <v>32000</v>
      </c>
      <c r="I7" s="36">
        <v>0.11</v>
      </c>
      <c r="J7" s="65">
        <f t="shared" si="0"/>
        <v>3520</v>
      </c>
    </row>
    <row r="8" ht="16.5" spans="1:10">
      <c r="A8" s="27"/>
      <c r="B8" s="28"/>
      <c r="C8" s="28"/>
      <c r="D8" s="70"/>
      <c r="E8" s="28"/>
      <c r="F8" s="68"/>
      <c r="G8" s="36" t="s">
        <v>195</v>
      </c>
      <c r="H8" s="36">
        <f>32000*4</f>
        <v>128000</v>
      </c>
      <c r="I8" s="36">
        <v>0.042</v>
      </c>
      <c r="J8" s="36">
        <f t="shared" si="0"/>
        <v>5376</v>
      </c>
    </row>
    <row r="9" ht="16.5" spans="1:10">
      <c r="A9" s="27">
        <v>45742</v>
      </c>
      <c r="B9" s="28" t="s">
        <v>189</v>
      </c>
      <c r="C9" s="28" t="s">
        <v>196</v>
      </c>
      <c r="D9" s="70" t="s">
        <v>197</v>
      </c>
      <c r="E9" s="28" t="s">
        <v>198</v>
      </c>
      <c r="F9" s="73" t="s">
        <v>199</v>
      </c>
      <c r="G9" s="42" t="s">
        <v>86</v>
      </c>
      <c r="H9" s="42">
        <v>8000</v>
      </c>
      <c r="I9" s="42">
        <v>1.07</v>
      </c>
      <c r="J9" s="42">
        <f t="shared" si="0"/>
        <v>8560</v>
      </c>
    </row>
    <row r="10" ht="16.5" spans="1:10">
      <c r="A10" s="27"/>
      <c r="B10" s="28"/>
      <c r="C10" s="28"/>
      <c r="D10" s="70"/>
      <c r="E10" s="28"/>
      <c r="F10" s="73"/>
      <c r="G10" s="42" t="s">
        <v>88</v>
      </c>
      <c r="H10" s="42">
        <f>H9*0.01</f>
        <v>80</v>
      </c>
      <c r="I10" s="42">
        <v>0</v>
      </c>
      <c r="J10" s="42">
        <f t="shared" si="0"/>
        <v>0</v>
      </c>
    </row>
    <row r="11" ht="16.5" spans="1:10">
      <c r="A11" s="27"/>
      <c r="B11" s="28"/>
      <c r="C11" s="28"/>
      <c r="D11" s="70"/>
      <c r="E11" s="28"/>
      <c r="F11" s="73"/>
      <c r="G11" s="42" t="s">
        <v>71</v>
      </c>
      <c r="H11" s="42">
        <v>8000</v>
      </c>
      <c r="I11" s="42">
        <v>0.28</v>
      </c>
      <c r="J11" s="42">
        <f t="shared" si="0"/>
        <v>2240</v>
      </c>
    </row>
    <row r="12" ht="16.5" spans="1:10">
      <c r="A12" s="27"/>
      <c r="B12" s="28"/>
      <c r="C12" s="28"/>
      <c r="D12" s="70"/>
      <c r="E12" s="28"/>
      <c r="F12" s="73"/>
      <c r="G12" s="42" t="s">
        <v>22</v>
      </c>
      <c r="H12" s="42">
        <v>8000</v>
      </c>
      <c r="I12" s="42">
        <v>0.11</v>
      </c>
      <c r="J12" s="42">
        <f t="shared" si="0"/>
        <v>880</v>
      </c>
    </row>
    <row r="13" ht="16.5" spans="1:10">
      <c r="A13" s="27"/>
      <c r="B13" s="28"/>
      <c r="C13" s="28"/>
      <c r="D13" s="70"/>
      <c r="E13" s="28"/>
      <c r="F13" s="73"/>
      <c r="G13" s="42" t="s">
        <v>195</v>
      </c>
      <c r="H13" s="42">
        <f>8000*4</f>
        <v>32000</v>
      </c>
      <c r="I13" s="42">
        <v>0.042</v>
      </c>
      <c r="J13" s="42">
        <f t="shared" si="0"/>
        <v>1344</v>
      </c>
    </row>
    <row r="14" ht="16.5" spans="1:10">
      <c r="A14" s="27"/>
      <c r="B14" s="28"/>
      <c r="C14" s="28"/>
      <c r="D14" s="70"/>
      <c r="E14" s="28"/>
      <c r="F14" s="73"/>
      <c r="G14" s="42" t="s">
        <v>86</v>
      </c>
      <c r="H14" s="42">
        <v>5000</v>
      </c>
      <c r="I14" s="42">
        <v>1.07</v>
      </c>
      <c r="J14" s="42">
        <f t="shared" si="0"/>
        <v>5350</v>
      </c>
    </row>
    <row r="15" ht="16.5" spans="1:10">
      <c r="A15" s="27"/>
      <c r="B15" s="28"/>
      <c r="C15" s="28"/>
      <c r="D15" s="70"/>
      <c r="E15" s="28"/>
      <c r="F15" s="73"/>
      <c r="G15" s="42" t="s">
        <v>88</v>
      </c>
      <c r="H15" s="42">
        <f>H14*0.01</f>
        <v>50</v>
      </c>
      <c r="I15" s="42">
        <v>0</v>
      </c>
      <c r="J15" s="42">
        <f t="shared" si="0"/>
        <v>0</v>
      </c>
    </row>
    <row r="16" ht="16.5" spans="1:10">
      <c r="A16" s="27"/>
      <c r="B16" s="28"/>
      <c r="C16" s="28"/>
      <c r="D16" s="70"/>
      <c r="E16" s="28"/>
      <c r="F16" s="73"/>
      <c r="G16" s="42" t="s">
        <v>71</v>
      </c>
      <c r="H16" s="42">
        <v>5000</v>
      </c>
      <c r="I16" s="42">
        <v>0.28</v>
      </c>
      <c r="J16" s="42">
        <f t="shared" si="0"/>
        <v>1400</v>
      </c>
    </row>
    <row r="17" ht="16.5" spans="1:10">
      <c r="A17" s="27"/>
      <c r="B17" s="28"/>
      <c r="C17" s="28"/>
      <c r="D17" s="70"/>
      <c r="E17" s="28"/>
      <c r="F17" s="73"/>
      <c r="G17" s="42" t="s">
        <v>22</v>
      </c>
      <c r="H17" s="42">
        <v>5000</v>
      </c>
      <c r="I17" s="42">
        <v>0.11</v>
      </c>
      <c r="J17" s="42">
        <f t="shared" si="0"/>
        <v>550</v>
      </c>
    </row>
    <row r="18" ht="16.5" spans="1:10">
      <c r="A18" s="27"/>
      <c r="B18" s="28"/>
      <c r="C18" s="28"/>
      <c r="D18" s="70"/>
      <c r="E18" s="28"/>
      <c r="F18" s="73"/>
      <c r="G18" s="42" t="s">
        <v>195</v>
      </c>
      <c r="H18" s="42">
        <f>5000*4</f>
        <v>20000</v>
      </c>
      <c r="I18" s="42">
        <v>0.042</v>
      </c>
      <c r="J18" s="42">
        <f t="shared" si="0"/>
        <v>840</v>
      </c>
    </row>
    <row r="19" ht="16.5" spans="1:10">
      <c r="A19" s="27"/>
      <c r="B19" s="28"/>
      <c r="C19" s="28"/>
      <c r="D19" s="70"/>
      <c r="E19" s="28"/>
      <c r="F19" s="73"/>
      <c r="G19" s="42" t="s">
        <v>200</v>
      </c>
      <c r="H19" s="42">
        <v>43260</v>
      </c>
      <c r="I19" s="42">
        <v>0.33</v>
      </c>
      <c r="J19" s="42">
        <f t="shared" si="0"/>
        <v>14275.8</v>
      </c>
    </row>
    <row r="20" ht="16.5" spans="10:10">
      <c r="J20" s="78">
        <f>SUM(J3:J19)</f>
        <v>88220.6</v>
      </c>
    </row>
  </sheetData>
  <autoFilter xmlns:etc="http://www.wps.cn/officeDocument/2017/etCustomData" ref="A1:J20" etc:filterBottomFollowUsedRange="0">
    <extLst/>
  </autoFilter>
  <mergeCells count="13">
    <mergeCell ref="A1:J1"/>
    <mergeCell ref="A3:A8"/>
    <mergeCell ref="A9:A19"/>
    <mergeCell ref="B3:B8"/>
    <mergeCell ref="B9:B19"/>
    <mergeCell ref="C3:C8"/>
    <mergeCell ref="C9:C19"/>
    <mergeCell ref="D3:D8"/>
    <mergeCell ref="D9:D19"/>
    <mergeCell ref="E3:E8"/>
    <mergeCell ref="E9:E19"/>
    <mergeCell ref="F3:F8"/>
    <mergeCell ref="F9:F19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5"/>
  <sheetViews>
    <sheetView workbookViewId="0">
      <selection activeCell="D23" sqref="D23:D29"/>
    </sheetView>
  </sheetViews>
  <sheetFormatPr defaultColWidth="8.71818181818182" defaultRowHeight="14"/>
  <cols>
    <col min="1" max="1" width="13.1818181818182" customWidth="1"/>
    <col min="2" max="2" width="10.7181818181818" customWidth="1"/>
    <col min="3" max="3" width="8.28181818181818" style="24" customWidth="1"/>
    <col min="4" max="4" width="22.4636363636364" customWidth="1"/>
    <col min="5" max="5" width="33.6272727272727" customWidth="1"/>
    <col min="6" max="6" width="17.3727272727273" style="25" customWidth="1"/>
    <col min="7" max="7" width="56.0909090909091" customWidth="1"/>
    <col min="8" max="8" width="9.45454545454546" customWidth="1"/>
    <col min="9" max="9" width="12.3727272727273" customWidth="1"/>
    <col min="10" max="10" width="11.5454545454545" customWidth="1"/>
    <col min="12" max="12" width="10.5454545454545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41" t="s">
        <v>51</v>
      </c>
    </row>
    <row r="3" s="1" customFormat="1" ht="16.5" customHeight="1" spans="1:10">
      <c r="A3" s="55">
        <v>45524</v>
      </c>
      <c r="B3" s="36" t="s">
        <v>39</v>
      </c>
      <c r="C3" s="28">
        <v>61802</v>
      </c>
      <c r="D3" s="56" t="s">
        <v>52</v>
      </c>
      <c r="E3" s="28" t="s">
        <v>53</v>
      </c>
      <c r="F3" s="47" t="s">
        <v>54</v>
      </c>
      <c r="G3" s="42" t="s">
        <v>37</v>
      </c>
      <c r="H3" s="42">
        <v>6000</v>
      </c>
      <c r="I3" s="74">
        <v>0.368</v>
      </c>
      <c r="J3" s="42">
        <f t="shared" ref="J3:J17" si="0">H3*I3</f>
        <v>2208</v>
      </c>
    </row>
    <row r="4" s="1" customFormat="1" ht="16.5" spans="1:10">
      <c r="A4" s="55"/>
      <c r="B4" s="36"/>
      <c r="C4" s="28"/>
      <c r="D4" s="56"/>
      <c r="E4" s="28"/>
      <c r="F4" s="47"/>
      <c r="G4" s="42" t="s">
        <v>38</v>
      </c>
      <c r="H4" s="42">
        <v>42000</v>
      </c>
      <c r="I4" s="75">
        <v>0.042</v>
      </c>
      <c r="J4" s="42">
        <f t="shared" si="0"/>
        <v>1764</v>
      </c>
    </row>
    <row r="5" s="1" customFormat="1" ht="16.5" spans="1:10">
      <c r="A5" s="55"/>
      <c r="B5" s="36"/>
      <c r="C5" s="28"/>
      <c r="D5" s="56"/>
      <c r="E5" s="28"/>
      <c r="F5" s="47"/>
      <c r="G5" s="42" t="s">
        <v>21</v>
      </c>
      <c r="H5" s="42">
        <v>6000</v>
      </c>
      <c r="I5" s="74">
        <v>0.294</v>
      </c>
      <c r="J5" s="42">
        <f t="shared" si="0"/>
        <v>1764</v>
      </c>
    </row>
    <row r="6" s="1" customFormat="1" ht="16.5" spans="1:10">
      <c r="A6" s="55"/>
      <c r="B6" s="36"/>
      <c r="C6" s="28"/>
      <c r="D6" s="56"/>
      <c r="E6" s="28"/>
      <c r="F6" s="47"/>
      <c r="G6" s="42" t="s">
        <v>22</v>
      </c>
      <c r="H6" s="42">
        <v>6000</v>
      </c>
      <c r="I6" s="74">
        <v>0.116</v>
      </c>
      <c r="J6" s="42">
        <f t="shared" si="0"/>
        <v>696</v>
      </c>
    </row>
    <row r="7" s="1" customFormat="1" ht="16.5" spans="1:10">
      <c r="A7" s="57">
        <v>45663</v>
      </c>
      <c r="B7" s="36" t="s">
        <v>39</v>
      </c>
      <c r="C7" s="28" t="s">
        <v>201</v>
      </c>
      <c r="D7" s="56" t="s">
        <v>202</v>
      </c>
      <c r="E7" s="27" t="s">
        <v>203</v>
      </c>
      <c r="F7" s="58" t="s">
        <v>204</v>
      </c>
      <c r="G7" s="31" t="s">
        <v>205</v>
      </c>
      <c r="H7" s="42">
        <v>8526</v>
      </c>
      <c r="I7" s="42">
        <v>0.35</v>
      </c>
      <c r="J7" s="42">
        <f t="shared" si="0"/>
        <v>2984.1</v>
      </c>
    </row>
    <row r="8" s="1" customFormat="1" ht="16.5" spans="1:10">
      <c r="A8" s="59"/>
      <c r="B8" s="36"/>
      <c r="C8" s="28"/>
      <c r="D8" s="56"/>
      <c r="E8" s="60"/>
      <c r="F8" s="58" t="s">
        <v>204</v>
      </c>
      <c r="G8" s="31" t="s">
        <v>89</v>
      </c>
      <c r="H8" s="42">
        <f>H7*5</f>
        <v>42630</v>
      </c>
      <c r="I8" s="42">
        <v>0.042</v>
      </c>
      <c r="J8" s="42">
        <f t="shared" si="0"/>
        <v>1790.46</v>
      </c>
    </row>
    <row r="9" s="1" customFormat="1" ht="16.5" spans="1:11">
      <c r="A9" s="59"/>
      <c r="B9" s="36"/>
      <c r="C9" s="28"/>
      <c r="D9" s="56"/>
      <c r="E9" s="60"/>
      <c r="F9" s="58" t="s">
        <v>204</v>
      </c>
      <c r="G9" s="31" t="s">
        <v>21</v>
      </c>
      <c r="H9" s="42">
        <v>8526</v>
      </c>
      <c r="I9" s="42">
        <v>0.28</v>
      </c>
      <c r="J9" s="42">
        <f t="shared" si="0"/>
        <v>2387.28</v>
      </c>
      <c r="K9" s="76"/>
    </row>
    <row r="10" s="1" customFormat="1" ht="16.5" spans="1:10">
      <c r="A10" s="61"/>
      <c r="B10" s="36"/>
      <c r="C10" s="28"/>
      <c r="D10" s="56"/>
      <c r="E10" s="60"/>
      <c r="F10" s="58"/>
      <c r="G10" s="31" t="s">
        <v>22</v>
      </c>
      <c r="H10" s="42">
        <v>8526</v>
      </c>
      <c r="I10" s="42">
        <v>0.11</v>
      </c>
      <c r="J10" s="42">
        <f t="shared" si="0"/>
        <v>937.86</v>
      </c>
    </row>
    <row r="11" s="1" customFormat="1" ht="16.5" spans="1:11">
      <c r="A11" s="60">
        <v>45679</v>
      </c>
      <c r="B11" s="36" t="s">
        <v>39</v>
      </c>
      <c r="C11" s="28" t="s">
        <v>43</v>
      </c>
      <c r="D11" s="29" t="s">
        <v>55</v>
      </c>
      <c r="E11" s="35" t="s">
        <v>43</v>
      </c>
      <c r="F11" s="35" t="s">
        <v>56</v>
      </c>
      <c r="G11" s="31" t="s">
        <v>57</v>
      </c>
      <c r="H11" s="31">
        <v>2000</v>
      </c>
      <c r="I11" s="31">
        <v>0.05</v>
      </c>
      <c r="J11" s="42">
        <f t="shared" si="0"/>
        <v>100</v>
      </c>
      <c r="K11" s="40"/>
    </row>
    <row r="12" s="1" customFormat="1" ht="16.5" spans="1:11">
      <c r="A12" s="27">
        <v>45700</v>
      </c>
      <c r="B12" s="28" t="s">
        <v>39</v>
      </c>
      <c r="C12" s="28" t="s">
        <v>206</v>
      </c>
      <c r="D12" s="29" t="s">
        <v>207</v>
      </c>
      <c r="E12" s="28" t="s">
        <v>208</v>
      </c>
      <c r="F12" s="30" t="s">
        <v>209</v>
      </c>
      <c r="G12" s="31" t="s">
        <v>130</v>
      </c>
      <c r="H12" s="32">
        <v>8782</v>
      </c>
      <c r="I12" s="36">
        <v>1.07</v>
      </c>
      <c r="J12" s="42">
        <f t="shared" si="0"/>
        <v>9396.74</v>
      </c>
      <c r="K12" s="40"/>
    </row>
    <row r="13" s="1" customFormat="1" ht="16.5" spans="1:11">
      <c r="A13" s="27"/>
      <c r="B13" s="28"/>
      <c r="C13" s="28"/>
      <c r="D13" s="29"/>
      <c r="E13" s="28"/>
      <c r="F13" s="33"/>
      <c r="G13" s="31" t="s">
        <v>88</v>
      </c>
      <c r="H13" s="32">
        <f>H15*0.01</f>
        <v>85.26</v>
      </c>
      <c r="I13" s="36">
        <v>0</v>
      </c>
      <c r="J13" s="42">
        <f t="shared" si="0"/>
        <v>0</v>
      </c>
      <c r="K13" s="40"/>
    </row>
    <row r="14" s="1" customFormat="1" ht="16.5" spans="1:11">
      <c r="A14" s="27"/>
      <c r="B14" s="28"/>
      <c r="C14" s="28"/>
      <c r="D14" s="29"/>
      <c r="E14" s="28"/>
      <c r="F14" s="34"/>
      <c r="G14" s="31" t="s">
        <v>210</v>
      </c>
      <c r="H14" s="32">
        <f>20+5+5</f>
        <v>30</v>
      </c>
      <c r="I14" s="36">
        <v>0</v>
      </c>
      <c r="J14" s="42">
        <f t="shared" si="0"/>
        <v>0</v>
      </c>
      <c r="K14" s="40"/>
    </row>
    <row r="15" s="1" customFormat="1" ht="16.5" spans="1:11">
      <c r="A15" s="27"/>
      <c r="B15" s="28"/>
      <c r="C15" s="28"/>
      <c r="D15" s="29"/>
      <c r="E15" s="28"/>
      <c r="F15" s="35" t="s">
        <v>211</v>
      </c>
      <c r="G15" s="31" t="s">
        <v>71</v>
      </c>
      <c r="H15" s="36">
        <f>3500+2500+2500+26</f>
        <v>8526</v>
      </c>
      <c r="I15" s="36">
        <v>0.28</v>
      </c>
      <c r="J15" s="42">
        <f t="shared" si="0"/>
        <v>2387.28</v>
      </c>
      <c r="K15" s="40"/>
    </row>
    <row r="16" s="1" customFormat="1" ht="16.5" spans="1:11">
      <c r="A16" s="27"/>
      <c r="B16" s="28"/>
      <c r="C16" s="28"/>
      <c r="D16" s="29"/>
      <c r="E16" s="28"/>
      <c r="F16" s="35" t="s">
        <v>211</v>
      </c>
      <c r="G16" s="31" t="s">
        <v>212</v>
      </c>
      <c r="H16" s="36">
        <f>250+175</f>
        <v>425</v>
      </c>
      <c r="I16" s="36">
        <v>0.042</v>
      </c>
      <c r="J16" s="42">
        <f t="shared" si="0"/>
        <v>17.85</v>
      </c>
      <c r="K16" s="40"/>
    </row>
    <row r="17" s="1" customFormat="1" ht="16.5" spans="1:11">
      <c r="A17" s="27">
        <v>45701</v>
      </c>
      <c r="B17" s="28" t="s">
        <v>39</v>
      </c>
      <c r="C17" s="62" t="s">
        <v>213</v>
      </c>
      <c r="D17" s="63" t="s">
        <v>214</v>
      </c>
      <c r="E17" s="62" t="s">
        <v>215</v>
      </c>
      <c r="F17" s="64" t="s">
        <v>216</v>
      </c>
      <c r="G17" s="42" t="s">
        <v>130</v>
      </c>
      <c r="H17" s="65">
        <f>6077+4223</f>
        <v>10300</v>
      </c>
      <c r="I17" s="65">
        <v>1.07</v>
      </c>
      <c r="J17" s="65">
        <f t="shared" si="0"/>
        <v>11021</v>
      </c>
      <c r="K17" s="40"/>
    </row>
    <row r="18" s="1" customFormat="1" ht="16.5" spans="1:11">
      <c r="A18" s="27"/>
      <c r="B18" s="28"/>
      <c r="C18" s="66"/>
      <c r="D18" s="63"/>
      <c r="E18" s="62"/>
      <c r="F18" s="67"/>
      <c r="G18" s="42" t="s">
        <v>88</v>
      </c>
      <c r="H18" s="65">
        <f>10000*0.01</f>
        <v>100</v>
      </c>
      <c r="I18" s="65">
        <v>0</v>
      </c>
      <c r="J18" s="65">
        <v>0</v>
      </c>
      <c r="K18" s="40"/>
    </row>
    <row r="19" s="1" customFormat="1" ht="16.5" spans="1:11">
      <c r="A19" s="27"/>
      <c r="B19" s="28"/>
      <c r="C19" s="66"/>
      <c r="D19" s="63"/>
      <c r="E19" s="62"/>
      <c r="F19" s="67"/>
      <c r="G19" s="42" t="s">
        <v>71</v>
      </c>
      <c r="H19" s="36">
        <f>2200+1000</f>
        <v>3200</v>
      </c>
      <c r="I19" s="36">
        <v>0.28</v>
      </c>
      <c r="J19" s="36">
        <f t="shared" ref="J19:J24" si="1">H19*I19</f>
        <v>896</v>
      </c>
      <c r="K19" s="40"/>
    </row>
    <row r="20" s="1" customFormat="1" ht="16.5" spans="1:11">
      <c r="A20" s="27"/>
      <c r="B20" s="28"/>
      <c r="C20" s="66"/>
      <c r="D20" s="63"/>
      <c r="E20" s="62"/>
      <c r="F20" s="67"/>
      <c r="G20" s="36" t="s">
        <v>22</v>
      </c>
      <c r="H20" s="36">
        <v>10000</v>
      </c>
      <c r="I20" s="36">
        <v>0.11</v>
      </c>
      <c r="J20" s="36">
        <f t="shared" si="1"/>
        <v>1100</v>
      </c>
      <c r="K20" s="40"/>
    </row>
    <row r="21" s="1" customFormat="1" ht="16.5" spans="1:11">
      <c r="A21" s="27"/>
      <c r="B21" s="28"/>
      <c r="C21" s="66"/>
      <c r="D21" s="63"/>
      <c r="E21" s="62"/>
      <c r="F21" s="68"/>
      <c r="G21" s="36" t="s">
        <v>89</v>
      </c>
      <c r="H21" s="36">
        <f>3200*5</f>
        <v>16000</v>
      </c>
      <c r="I21" s="36">
        <v>0.042</v>
      </c>
      <c r="J21" s="36">
        <f t="shared" si="1"/>
        <v>672</v>
      </c>
      <c r="K21" s="40"/>
    </row>
    <row r="22" s="1" customFormat="1" ht="16.5" spans="1:11">
      <c r="A22" s="27"/>
      <c r="B22" s="28"/>
      <c r="C22" s="66"/>
      <c r="D22" s="63"/>
      <c r="E22" s="62"/>
      <c r="F22" s="69" t="s">
        <v>199</v>
      </c>
      <c r="G22" s="42" t="s">
        <v>217</v>
      </c>
      <c r="H22" s="36">
        <v>1000</v>
      </c>
      <c r="I22" s="36">
        <v>0.24</v>
      </c>
      <c r="J22" s="36">
        <f t="shared" si="1"/>
        <v>240</v>
      </c>
      <c r="K22" s="40"/>
    </row>
    <row r="23" s="1" customFormat="1" ht="16.5" spans="1:11">
      <c r="A23" s="27">
        <v>45716</v>
      </c>
      <c r="B23" s="28" t="s">
        <v>39</v>
      </c>
      <c r="C23" s="28" t="s">
        <v>218</v>
      </c>
      <c r="D23" s="70" t="s">
        <v>219</v>
      </c>
      <c r="E23" s="28" t="s">
        <v>220</v>
      </c>
      <c r="F23" s="64" t="s">
        <v>221</v>
      </c>
      <c r="G23" s="42" t="s">
        <v>130</v>
      </c>
      <c r="H23" s="65">
        <v>3104</v>
      </c>
      <c r="I23" s="65">
        <v>1.07</v>
      </c>
      <c r="J23" s="65">
        <f t="shared" si="1"/>
        <v>3321.28</v>
      </c>
      <c r="K23"/>
    </row>
    <row r="24" ht="16.5" spans="1:10">
      <c r="A24" s="27"/>
      <c r="B24" s="28"/>
      <c r="C24" s="28"/>
      <c r="D24" s="70"/>
      <c r="E24" s="28"/>
      <c r="F24" s="67"/>
      <c r="G24" s="42" t="s">
        <v>88</v>
      </c>
      <c r="H24" s="65">
        <v>30</v>
      </c>
      <c r="I24" s="65">
        <v>0</v>
      </c>
      <c r="J24" s="65">
        <f t="shared" si="1"/>
        <v>0</v>
      </c>
    </row>
    <row r="25" ht="16.5" spans="1:10">
      <c r="A25" s="27"/>
      <c r="B25" s="28"/>
      <c r="C25" s="28"/>
      <c r="D25" s="70"/>
      <c r="E25" s="28"/>
      <c r="F25" s="67"/>
      <c r="G25" s="28" t="s">
        <v>210</v>
      </c>
      <c r="H25" s="65">
        <v>30</v>
      </c>
      <c r="I25" s="65">
        <v>0</v>
      </c>
      <c r="J25" s="65">
        <v>0</v>
      </c>
    </row>
    <row r="26" ht="16.5" spans="1:10">
      <c r="A26" s="27"/>
      <c r="B26" s="28"/>
      <c r="C26" s="28"/>
      <c r="D26" s="70"/>
      <c r="E26" s="28"/>
      <c r="F26" s="67"/>
      <c r="G26" s="42" t="s">
        <v>71</v>
      </c>
      <c r="H26" s="36">
        <v>1013</v>
      </c>
      <c r="I26" s="36">
        <v>0.28</v>
      </c>
      <c r="J26" s="65">
        <f>H26*I26</f>
        <v>283.64</v>
      </c>
    </row>
    <row r="27" ht="16.5" spans="1:10">
      <c r="A27" s="27"/>
      <c r="B27" s="28"/>
      <c r="C27" s="28"/>
      <c r="D27" s="70"/>
      <c r="E27" s="28"/>
      <c r="F27" s="67"/>
      <c r="G27" s="36" t="s">
        <v>22</v>
      </c>
      <c r="H27" s="65">
        <f>1500+13+1000+500</f>
        <v>3013</v>
      </c>
      <c r="I27" s="36">
        <v>0.11</v>
      </c>
      <c r="J27" s="65">
        <f>H27*I27</f>
        <v>331.43</v>
      </c>
    </row>
    <row r="28" ht="16.5" spans="1:10">
      <c r="A28" s="27"/>
      <c r="B28" s="28"/>
      <c r="C28" s="28"/>
      <c r="D28" s="70"/>
      <c r="E28" s="28"/>
      <c r="F28" s="67"/>
      <c r="G28" s="42" t="s">
        <v>217</v>
      </c>
      <c r="H28" s="36">
        <f>1500+500</f>
        <v>2000</v>
      </c>
      <c r="I28" s="36">
        <v>0.24</v>
      </c>
      <c r="J28" s="65">
        <f>H28*I28</f>
        <v>480</v>
      </c>
    </row>
    <row r="29" ht="16.5" spans="1:10">
      <c r="A29" s="27"/>
      <c r="B29" s="28"/>
      <c r="C29" s="28"/>
      <c r="D29" s="70"/>
      <c r="E29" s="28"/>
      <c r="F29" s="68"/>
      <c r="G29" s="36" t="s">
        <v>89</v>
      </c>
      <c r="H29" s="36">
        <f>3013*5</f>
        <v>15065</v>
      </c>
      <c r="I29" s="36">
        <v>0.042</v>
      </c>
      <c r="J29" s="65">
        <f>H29*I29</f>
        <v>632.73</v>
      </c>
    </row>
    <row r="30" ht="16.5" spans="1:10">
      <c r="A30" s="27">
        <v>45724</v>
      </c>
      <c r="B30" s="28" t="s">
        <v>39</v>
      </c>
      <c r="C30" s="28" t="s">
        <v>43</v>
      </c>
      <c r="D30" s="70" t="s">
        <v>222</v>
      </c>
      <c r="E30" s="28" t="s">
        <v>223</v>
      </c>
      <c r="F30" s="64" t="s">
        <v>224</v>
      </c>
      <c r="G30" s="42" t="s">
        <v>86</v>
      </c>
      <c r="H30" s="71">
        <f>1402+2438+3049+2202+1210</f>
        <v>10301</v>
      </c>
      <c r="I30" s="65">
        <v>1.07</v>
      </c>
      <c r="J30" s="65">
        <f>H30*I30</f>
        <v>11022.07</v>
      </c>
    </row>
    <row r="31" ht="16.5" spans="1:10">
      <c r="A31" s="27"/>
      <c r="B31" s="28"/>
      <c r="C31" s="28"/>
      <c r="D31" s="70"/>
      <c r="E31" s="28"/>
      <c r="F31" s="67"/>
      <c r="G31" s="42" t="s">
        <v>88</v>
      </c>
      <c r="H31" s="71">
        <v>103</v>
      </c>
      <c r="I31" s="65">
        <v>0</v>
      </c>
      <c r="J31" s="65">
        <v>0</v>
      </c>
    </row>
    <row r="32" ht="16.5" spans="1:10">
      <c r="A32" s="27"/>
      <c r="B32" s="28"/>
      <c r="C32" s="28"/>
      <c r="D32" s="70"/>
      <c r="E32" s="28"/>
      <c r="F32" s="67"/>
      <c r="G32" s="42" t="s">
        <v>71</v>
      </c>
      <c r="H32" s="36">
        <f>589+1009+1220+883+505+773+1358+1740+1255+669</f>
        <v>10001</v>
      </c>
      <c r="I32" s="36">
        <v>0.28</v>
      </c>
      <c r="J32" s="36">
        <f t="shared" ref="J32:J41" si="2">H32*I32</f>
        <v>2800.28</v>
      </c>
    </row>
    <row r="33" ht="16.5" spans="1:10">
      <c r="A33" s="27"/>
      <c r="B33" s="28"/>
      <c r="C33" s="28"/>
      <c r="D33" s="70"/>
      <c r="E33" s="28"/>
      <c r="F33" s="67"/>
      <c r="G33" s="36" t="s">
        <v>22</v>
      </c>
      <c r="H33" s="42">
        <f>1362+2367+2960+2138+1174</f>
        <v>10001</v>
      </c>
      <c r="I33" s="36">
        <v>0.11</v>
      </c>
      <c r="J33" s="36">
        <f t="shared" si="2"/>
        <v>1100.11</v>
      </c>
    </row>
    <row r="34" ht="16.5" spans="1:10">
      <c r="A34" s="27"/>
      <c r="B34" s="28"/>
      <c r="C34" s="28"/>
      <c r="D34" s="70"/>
      <c r="E34" s="28"/>
      <c r="F34" s="68"/>
      <c r="G34" s="36" t="s">
        <v>89</v>
      </c>
      <c r="H34" s="36">
        <f>10001*5</f>
        <v>50005</v>
      </c>
      <c r="I34" s="36">
        <v>0.042</v>
      </c>
      <c r="J34" s="36">
        <f t="shared" si="2"/>
        <v>2100.21</v>
      </c>
    </row>
    <row r="35" ht="16.5" spans="1:10">
      <c r="A35" s="27">
        <v>45730</v>
      </c>
      <c r="B35" s="28" t="s">
        <v>189</v>
      </c>
      <c r="C35" s="28" t="s">
        <v>190</v>
      </c>
      <c r="D35" s="70" t="s">
        <v>191</v>
      </c>
      <c r="E35" s="28" t="s">
        <v>192</v>
      </c>
      <c r="F35" s="64" t="s">
        <v>193</v>
      </c>
      <c r="G35" s="42" t="s">
        <v>194</v>
      </c>
      <c r="H35" s="71">
        <f>32000*1.02</f>
        <v>32640</v>
      </c>
      <c r="I35" s="65">
        <v>1.07</v>
      </c>
      <c r="J35" s="65">
        <f t="shared" si="2"/>
        <v>34924.8</v>
      </c>
    </row>
    <row r="36" ht="16.5" spans="1:10">
      <c r="A36" s="27"/>
      <c r="B36" s="28"/>
      <c r="C36" s="28"/>
      <c r="D36" s="70"/>
      <c r="E36" s="28"/>
      <c r="F36" s="67"/>
      <c r="G36" s="42" t="s">
        <v>88</v>
      </c>
      <c r="H36" s="71">
        <v>320</v>
      </c>
      <c r="I36" s="65">
        <v>0</v>
      </c>
      <c r="J36" s="65">
        <f t="shared" si="2"/>
        <v>0</v>
      </c>
    </row>
    <row r="37" ht="16.5" spans="1:10">
      <c r="A37" s="27"/>
      <c r="B37" s="28"/>
      <c r="C37" s="28"/>
      <c r="D37" s="70"/>
      <c r="E37" s="28"/>
      <c r="F37" s="67"/>
      <c r="G37" s="28" t="s">
        <v>147</v>
      </c>
      <c r="H37" s="71">
        <f>2*5*5+5</f>
        <v>55</v>
      </c>
      <c r="I37" s="65">
        <v>0</v>
      </c>
      <c r="J37" s="65">
        <f t="shared" si="2"/>
        <v>0</v>
      </c>
    </row>
    <row r="38" ht="16.5" spans="1:10">
      <c r="A38" s="27"/>
      <c r="B38" s="28"/>
      <c r="C38" s="28"/>
      <c r="D38" s="70"/>
      <c r="E38" s="28"/>
      <c r="F38" s="67"/>
      <c r="G38" s="42" t="s">
        <v>71</v>
      </c>
      <c r="H38" s="71">
        <f>8000+8000+8000+8000</f>
        <v>32000</v>
      </c>
      <c r="I38" s="36">
        <v>0.28</v>
      </c>
      <c r="J38" s="65">
        <f t="shared" si="2"/>
        <v>8960</v>
      </c>
    </row>
    <row r="39" ht="16.5" spans="1:10">
      <c r="A39" s="27"/>
      <c r="B39" s="28"/>
      <c r="C39" s="28"/>
      <c r="D39" s="70"/>
      <c r="E39" s="28"/>
      <c r="F39" s="67"/>
      <c r="G39" s="36" t="s">
        <v>22</v>
      </c>
      <c r="H39" s="71">
        <f>8000+8000+8000+8000</f>
        <v>32000</v>
      </c>
      <c r="I39" s="36">
        <v>0.11</v>
      </c>
      <c r="J39" s="65">
        <f t="shared" si="2"/>
        <v>3520</v>
      </c>
    </row>
    <row r="40" ht="16.5" spans="1:10">
      <c r="A40" s="27"/>
      <c r="B40" s="28"/>
      <c r="C40" s="28"/>
      <c r="D40" s="70"/>
      <c r="E40" s="28"/>
      <c r="F40" s="68"/>
      <c r="G40" s="36" t="s">
        <v>195</v>
      </c>
      <c r="H40" s="36">
        <f>32000*4</f>
        <v>128000</v>
      </c>
      <c r="I40" s="36">
        <v>0.042</v>
      </c>
      <c r="J40" s="36">
        <f t="shared" si="2"/>
        <v>5376</v>
      </c>
    </row>
    <row r="41" ht="16.5" spans="1:10">
      <c r="A41" s="27">
        <v>45733</v>
      </c>
      <c r="B41" s="28" t="s">
        <v>39</v>
      </c>
      <c r="C41" s="28" t="s">
        <v>43</v>
      </c>
      <c r="D41" s="70" t="s">
        <v>225</v>
      </c>
      <c r="E41" s="28" t="s">
        <v>226</v>
      </c>
      <c r="F41" s="64" t="s">
        <v>221</v>
      </c>
      <c r="G41" s="42" t="s">
        <v>227</v>
      </c>
      <c r="H41" s="71">
        <f>1414+2424+2929+2121+1212</f>
        <v>10100</v>
      </c>
      <c r="I41" s="65">
        <v>1.07</v>
      </c>
      <c r="J41" s="65">
        <f t="shared" si="2"/>
        <v>10807</v>
      </c>
    </row>
    <row r="42" ht="16.5" spans="1:10">
      <c r="A42" s="27"/>
      <c r="B42" s="28"/>
      <c r="C42" s="28"/>
      <c r="D42" s="70"/>
      <c r="E42" s="28"/>
      <c r="F42" s="67"/>
      <c r="G42" s="42" t="s">
        <v>88</v>
      </c>
      <c r="H42" s="71">
        <f>10000*0.01</f>
        <v>100</v>
      </c>
      <c r="I42" s="65">
        <v>0</v>
      </c>
      <c r="J42" s="65">
        <v>0</v>
      </c>
    </row>
    <row r="43" ht="16.5" spans="1:10">
      <c r="A43" s="27"/>
      <c r="B43" s="28"/>
      <c r="C43" s="28"/>
      <c r="D43" s="70"/>
      <c r="E43" s="28"/>
      <c r="F43" s="67"/>
      <c r="G43" s="42" t="s">
        <v>228</v>
      </c>
      <c r="H43" s="71">
        <f>1442+2472+2987+2163+1236-10100</f>
        <v>200</v>
      </c>
      <c r="I43" s="65">
        <v>1.07</v>
      </c>
      <c r="J43" s="65">
        <f t="shared" ref="J43:J74" si="3">H43*I43</f>
        <v>214</v>
      </c>
    </row>
    <row r="44" ht="16.5" spans="1:10">
      <c r="A44" s="27"/>
      <c r="B44" s="28"/>
      <c r="C44" s="28"/>
      <c r="D44" s="70"/>
      <c r="E44" s="28"/>
      <c r="F44" s="67"/>
      <c r="G44" s="42" t="s">
        <v>71</v>
      </c>
      <c r="H44" s="42">
        <f>840+1440+1740+1260+720+560+960+1160+840+480</f>
        <v>10000</v>
      </c>
      <c r="I44" s="36">
        <v>0.28</v>
      </c>
      <c r="J44" s="36">
        <f t="shared" si="3"/>
        <v>2800</v>
      </c>
    </row>
    <row r="45" ht="16.5" spans="1:10">
      <c r="A45" s="27"/>
      <c r="B45" s="28"/>
      <c r="C45" s="28"/>
      <c r="D45" s="70"/>
      <c r="E45" s="28"/>
      <c r="F45" s="67"/>
      <c r="G45" s="36" t="s">
        <v>22</v>
      </c>
      <c r="H45" s="42">
        <f>1400+2400+2900+2100+1200</f>
        <v>10000</v>
      </c>
      <c r="I45" s="36">
        <v>0.11</v>
      </c>
      <c r="J45" s="36">
        <f t="shared" si="3"/>
        <v>1100</v>
      </c>
    </row>
    <row r="46" ht="16.5" spans="1:10">
      <c r="A46" s="27"/>
      <c r="B46" s="28"/>
      <c r="C46" s="28"/>
      <c r="D46" s="70"/>
      <c r="E46" s="28"/>
      <c r="F46" s="68"/>
      <c r="G46" s="36" t="s">
        <v>89</v>
      </c>
      <c r="H46" s="36">
        <f>10000*5</f>
        <v>50000</v>
      </c>
      <c r="I46" s="36">
        <v>0.042</v>
      </c>
      <c r="J46" s="36">
        <f t="shared" si="3"/>
        <v>2100</v>
      </c>
    </row>
    <row r="47" ht="16.5" spans="1:10">
      <c r="A47" s="27">
        <v>45734</v>
      </c>
      <c r="B47" s="28" t="s">
        <v>39</v>
      </c>
      <c r="C47" s="28" t="s">
        <v>229</v>
      </c>
      <c r="D47" s="70" t="s">
        <v>230</v>
      </c>
      <c r="E47" s="28" t="s">
        <v>231</v>
      </c>
      <c r="F47" s="64" t="s">
        <v>221</v>
      </c>
      <c r="G47" s="42" t="s">
        <v>130</v>
      </c>
      <c r="H47" s="72">
        <v>9283</v>
      </c>
      <c r="I47" s="65">
        <v>1.07</v>
      </c>
      <c r="J47" s="65">
        <f t="shared" si="3"/>
        <v>9932.81</v>
      </c>
    </row>
    <row r="48" ht="16.5" spans="1:10">
      <c r="A48" s="27"/>
      <c r="B48" s="28"/>
      <c r="C48" s="28"/>
      <c r="D48" s="70"/>
      <c r="E48" s="28"/>
      <c r="F48" s="67"/>
      <c r="G48" s="42" t="s">
        <v>88</v>
      </c>
      <c r="H48" s="71">
        <v>90</v>
      </c>
      <c r="I48" s="65">
        <v>0</v>
      </c>
      <c r="J48" s="65">
        <f t="shared" si="3"/>
        <v>0</v>
      </c>
    </row>
    <row r="49" ht="16.5" spans="1:10">
      <c r="A49" s="27"/>
      <c r="B49" s="28"/>
      <c r="C49" s="28"/>
      <c r="D49" s="70"/>
      <c r="E49" s="28"/>
      <c r="F49" s="67"/>
      <c r="G49" s="28" t="s">
        <v>147</v>
      </c>
      <c r="H49" s="71">
        <f>4*5+5</f>
        <v>25</v>
      </c>
      <c r="I49" s="65">
        <v>0</v>
      </c>
      <c r="J49" s="65">
        <f t="shared" si="3"/>
        <v>0</v>
      </c>
    </row>
    <row r="50" ht="16.5" spans="1:10">
      <c r="A50" s="27"/>
      <c r="B50" s="28"/>
      <c r="C50" s="28"/>
      <c r="D50" s="70"/>
      <c r="E50" s="28"/>
      <c r="F50" s="67"/>
      <c r="G50" s="42" t="s">
        <v>71</v>
      </c>
      <c r="H50" s="71">
        <f>3000+3000+3000+13</f>
        <v>9013</v>
      </c>
      <c r="I50" s="36">
        <v>0.28</v>
      </c>
      <c r="J50" s="65">
        <f t="shared" si="3"/>
        <v>2523.64</v>
      </c>
    </row>
    <row r="51" ht="16.5" spans="1:10">
      <c r="A51" s="27"/>
      <c r="B51" s="28"/>
      <c r="C51" s="28"/>
      <c r="D51" s="70"/>
      <c r="E51" s="28"/>
      <c r="F51" s="67"/>
      <c r="G51" s="36" t="s">
        <v>22</v>
      </c>
      <c r="H51" s="71">
        <f>3000+3000+3000+13</f>
        <v>9013</v>
      </c>
      <c r="I51" s="36">
        <v>0.11</v>
      </c>
      <c r="J51" s="65">
        <f t="shared" si="3"/>
        <v>991.43</v>
      </c>
    </row>
    <row r="52" ht="16.5" spans="1:10">
      <c r="A52" s="27"/>
      <c r="B52" s="28"/>
      <c r="C52" s="28"/>
      <c r="D52" s="70"/>
      <c r="E52" s="28"/>
      <c r="F52" s="68"/>
      <c r="G52" s="36" t="s">
        <v>89</v>
      </c>
      <c r="H52" s="36">
        <f>9013*5</f>
        <v>45065</v>
      </c>
      <c r="I52" s="36">
        <v>0.042</v>
      </c>
      <c r="J52" s="36">
        <f t="shared" si="3"/>
        <v>1892.73</v>
      </c>
    </row>
    <row r="53" ht="16.5" spans="1:10">
      <c r="A53" s="27">
        <v>45738</v>
      </c>
      <c r="B53" s="28" t="s">
        <v>39</v>
      </c>
      <c r="C53" s="28" t="s">
        <v>232</v>
      </c>
      <c r="D53" s="70" t="s">
        <v>233</v>
      </c>
      <c r="E53" s="28" t="s">
        <v>234</v>
      </c>
      <c r="F53" s="64" t="s">
        <v>221</v>
      </c>
      <c r="G53" s="42" t="s">
        <v>130</v>
      </c>
      <c r="H53" s="65">
        <f>999+2338+4573+3203+1246</f>
        <v>12359</v>
      </c>
      <c r="I53" s="65">
        <v>1.07</v>
      </c>
      <c r="J53" s="65">
        <f t="shared" si="3"/>
        <v>13224.13</v>
      </c>
    </row>
    <row r="54" ht="16.5" spans="1:10">
      <c r="A54" s="27"/>
      <c r="B54" s="28"/>
      <c r="C54" s="28"/>
      <c r="D54" s="70"/>
      <c r="E54" s="28"/>
      <c r="F54" s="67"/>
      <c r="G54" s="42" t="s">
        <v>88</v>
      </c>
      <c r="H54" s="65">
        <f>12000*0.01</f>
        <v>120</v>
      </c>
      <c r="I54" s="65">
        <v>0</v>
      </c>
      <c r="J54" s="65">
        <f t="shared" si="3"/>
        <v>0</v>
      </c>
    </row>
    <row r="55" ht="16.5" spans="1:10">
      <c r="A55" s="27"/>
      <c r="B55" s="28"/>
      <c r="C55" s="28"/>
      <c r="D55" s="70"/>
      <c r="E55" s="28"/>
      <c r="F55" s="67"/>
      <c r="G55" s="42" t="s">
        <v>71</v>
      </c>
      <c r="H55" s="36">
        <v>2900</v>
      </c>
      <c r="I55" s="36">
        <v>0.28</v>
      </c>
      <c r="J55" s="65">
        <f t="shared" si="3"/>
        <v>812</v>
      </c>
    </row>
    <row r="56" ht="16.5" spans="1:10">
      <c r="A56" s="27"/>
      <c r="B56" s="28"/>
      <c r="C56" s="28"/>
      <c r="D56" s="70"/>
      <c r="E56" s="28"/>
      <c r="F56" s="67"/>
      <c r="G56" s="36" t="s">
        <v>22</v>
      </c>
      <c r="H56" s="36">
        <f>2900+2000</f>
        <v>4900</v>
      </c>
      <c r="I56" s="36">
        <v>0.11</v>
      </c>
      <c r="J56" s="65">
        <f t="shared" si="3"/>
        <v>539</v>
      </c>
    </row>
    <row r="57" ht="16.5" spans="1:10">
      <c r="A57" s="27"/>
      <c r="B57" s="28"/>
      <c r="C57" s="28"/>
      <c r="D57" s="70"/>
      <c r="E57" s="28"/>
      <c r="F57" s="67"/>
      <c r="G57" s="42" t="s">
        <v>217</v>
      </c>
      <c r="H57" s="36">
        <v>2000</v>
      </c>
      <c r="I57" s="36">
        <v>0.24</v>
      </c>
      <c r="J57" s="65">
        <f t="shared" si="3"/>
        <v>480</v>
      </c>
    </row>
    <row r="58" ht="16.5" spans="1:10">
      <c r="A58" s="27"/>
      <c r="B58" s="28"/>
      <c r="C58" s="28"/>
      <c r="D58" s="70"/>
      <c r="E58" s="28"/>
      <c r="F58" s="68"/>
      <c r="G58" s="36" t="s">
        <v>89</v>
      </c>
      <c r="H58" s="36">
        <f>12000*5</f>
        <v>60000</v>
      </c>
      <c r="I58" s="36">
        <v>0.042</v>
      </c>
      <c r="J58" s="36">
        <f t="shared" si="3"/>
        <v>2520</v>
      </c>
    </row>
    <row r="59" ht="16.5" spans="1:10">
      <c r="A59" s="27">
        <v>45742</v>
      </c>
      <c r="B59" s="28" t="s">
        <v>235</v>
      </c>
      <c r="C59" s="28" t="s">
        <v>196</v>
      </c>
      <c r="D59" s="70" t="s">
        <v>197</v>
      </c>
      <c r="E59" s="28" t="s">
        <v>198</v>
      </c>
      <c r="F59" s="73" t="s">
        <v>199</v>
      </c>
      <c r="G59" s="42" t="s">
        <v>86</v>
      </c>
      <c r="H59" s="42">
        <v>8000</v>
      </c>
      <c r="I59" s="42">
        <v>1.07</v>
      </c>
      <c r="J59" s="42">
        <f t="shared" si="3"/>
        <v>8560</v>
      </c>
    </row>
    <row r="60" ht="16.5" spans="1:10">
      <c r="A60" s="27"/>
      <c r="B60" s="28"/>
      <c r="C60" s="28"/>
      <c r="D60" s="70"/>
      <c r="E60" s="28"/>
      <c r="F60" s="73"/>
      <c r="G60" s="42" t="s">
        <v>88</v>
      </c>
      <c r="H60" s="42">
        <f>H59*0.01</f>
        <v>80</v>
      </c>
      <c r="I60" s="42">
        <v>0</v>
      </c>
      <c r="J60" s="42">
        <f t="shared" si="3"/>
        <v>0</v>
      </c>
    </row>
    <row r="61" ht="16.5" spans="1:10">
      <c r="A61" s="27"/>
      <c r="B61" s="28"/>
      <c r="C61" s="28"/>
      <c r="D61" s="70"/>
      <c r="E61" s="28"/>
      <c r="F61" s="73"/>
      <c r="G61" s="42" t="s">
        <v>71</v>
      </c>
      <c r="H61" s="42">
        <v>8000</v>
      </c>
      <c r="I61" s="42">
        <v>0.28</v>
      </c>
      <c r="J61" s="42">
        <f t="shared" si="3"/>
        <v>2240</v>
      </c>
    </row>
    <row r="62" ht="16.5" spans="1:10">
      <c r="A62" s="27"/>
      <c r="B62" s="28"/>
      <c r="C62" s="28"/>
      <c r="D62" s="70"/>
      <c r="E62" s="28"/>
      <c r="F62" s="73"/>
      <c r="G62" s="42" t="s">
        <v>22</v>
      </c>
      <c r="H62" s="42">
        <v>8000</v>
      </c>
      <c r="I62" s="42">
        <v>0.11</v>
      </c>
      <c r="J62" s="42">
        <f t="shared" si="3"/>
        <v>880</v>
      </c>
    </row>
    <row r="63" ht="16.5" spans="1:10">
      <c r="A63" s="27"/>
      <c r="B63" s="28"/>
      <c r="C63" s="28"/>
      <c r="D63" s="70"/>
      <c r="E63" s="28"/>
      <c r="F63" s="73"/>
      <c r="G63" s="42" t="s">
        <v>195</v>
      </c>
      <c r="H63" s="42">
        <f>8000*4</f>
        <v>32000</v>
      </c>
      <c r="I63" s="42">
        <v>0.042</v>
      </c>
      <c r="J63" s="42">
        <f t="shared" si="3"/>
        <v>1344</v>
      </c>
    </row>
    <row r="64" ht="16.5" spans="1:10">
      <c r="A64" s="27"/>
      <c r="B64" s="28"/>
      <c r="C64" s="28"/>
      <c r="D64" s="70"/>
      <c r="E64" s="28"/>
      <c r="F64" s="73"/>
      <c r="G64" s="42" t="s">
        <v>86</v>
      </c>
      <c r="H64" s="42">
        <v>5000</v>
      </c>
      <c r="I64" s="42">
        <v>1.07</v>
      </c>
      <c r="J64" s="42">
        <f t="shared" si="3"/>
        <v>5350</v>
      </c>
    </row>
    <row r="65" ht="16.5" spans="1:10">
      <c r="A65" s="27"/>
      <c r="B65" s="28"/>
      <c r="C65" s="28"/>
      <c r="D65" s="70"/>
      <c r="E65" s="28"/>
      <c r="F65" s="73"/>
      <c r="G65" s="42" t="s">
        <v>88</v>
      </c>
      <c r="H65" s="42">
        <f>H64*0.01</f>
        <v>50</v>
      </c>
      <c r="I65" s="42">
        <v>0</v>
      </c>
      <c r="J65" s="42">
        <f t="shared" si="3"/>
        <v>0</v>
      </c>
    </row>
    <row r="66" ht="16.5" spans="1:10">
      <c r="A66" s="27"/>
      <c r="B66" s="28"/>
      <c r="C66" s="28"/>
      <c r="D66" s="70"/>
      <c r="E66" s="28"/>
      <c r="F66" s="73"/>
      <c r="G66" s="42" t="s">
        <v>71</v>
      </c>
      <c r="H66" s="42">
        <v>5000</v>
      </c>
      <c r="I66" s="42">
        <v>0.28</v>
      </c>
      <c r="J66" s="42">
        <f t="shared" si="3"/>
        <v>1400</v>
      </c>
    </row>
    <row r="67" ht="16.5" spans="1:10">
      <c r="A67" s="27"/>
      <c r="B67" s="28"/>
      <c r="C67" s="28"/>
      <c r="D67" s="70"/>
      <c r="E67" s="28"/>
      <c r="F67" s="73"/>
      <c r="G67" s="42" t="s">
        <v>22</v>
      </c>
      <c r="H67" s="42">
        <v>5000</v>
      </c>
      <c r="I67" s="42">
        <v>0.11</v>
      </c>
      <c r="J67" s="42">
        <f t="shared" si="3"/>
        <v>550</v>
      </c>
    </row>
    <row r="68" ht="16.5" spans="1:10">
      <c r="A68" s="27"/>
      <c r="B68" s="28"/>
      <c r="C68" s="28"/>
      <c r="D68" s="70"/>
      <c r="E68" s="28"/>
      <c r="F68" s="73"/>
      <c r="G68" s="42" t="s">
        <v>195</v>
      </c>
      <c r="H68" s="42">
        <f>5000*4</f>
        <v>20000</v>
      </c>
      <c r="I68" s="42">
        <v>0.042</v>
      </c>
      <c r="J68" s="42">
        <f t="shared" si="3"/>
        <v>840</v>
      </c>
    </row>
    <row r="69" ht="16.5" spans="1:10">
      <c r="A69" s="27"/>
      <c r="B69" s="28"/>
      <c r="C69" s="28"/>
      <c r="D69" s="70"/>
      <c r="E69" s="28"/>
      <c r="F69" s="73"/>
      <c r="G69" s="42" t="s">
        <v>200</v>
      </c>
      <c r="H69" s="42">
        <v>43260</v>
      </c>
      <c r="I69" s="42">
        <v>0.33</v>
      </c>
      <c r="J69" s="42">
        <f t="shared" si="3"/>
        <v>14275.8</v>
      </c>
    </row>
    <row r="70" ht="16.5" spans="1:10">
      <c r="A70" s="27">
        <v>45761</v>
      </c>
      <c r="B70" s="28" t="s">
        <v>235</v>
      </c>
      <c r="C70" s="28" t="s">
        <v>236</v>
      </c>
      <c r="D70" s="70" t="s">
        <v>237</v>
      </c>
      <c r="E70" s="28" t="s">
        <v>238</v>
      </c>
      <c r="F70" s="64" t="s">
        <v>239</v>
      </c>
      <c r="G70" s="36" t="s">
        <v>22</v>
      </c>
      <c r="H70" s="77">
        <f>38000*0.01</f>
        <v>380</v>
      </c>
      <c r="I70" s="36">
        <v>0.11</v>
      </c>
      <c r="J70" s="36">
        <f t="shared" si="3"/>
        <v>41.8</v>
      </c>
    </row>
    <row r="71" ht="16.5" spans="1:10">
      <c r="A71" s="27"/>
      <c r="B71" s="28"/>
      <c r="C71" s="28"/>
      <c r="D71" s="70"/>
      <c r="E71" s="28"/>
      <c r="F71" s="67"/>
      <c r="G71" s="42" t="s">
        <v>240</v>
      </c>
      <c r="H71" s="77">
        <f>38000*0.01*4</f>
        <v>1520</v>
      </c>
      <c r="I71" s="36">
        <v>0.042</v>
      </c>
      <c r="J71" s="36">
        <f t="shared" si="3"/>
        <v>63.84</v>
      </c>
    </row>
    <row r="72" ht="16.5" spans="1:10">
      <c r="A72" s="27"/>
      <c r="B72" s="28"/>
      <c r="C72" s="28"/>
      <c r="D72" s="70"/>
      <c r="E72" s="28"/>
      <c r="F72" s="67"/>
      <c r="G72" s="36" t="s">
        <v>241</v>
      </c>
      <c r="H72" s="77">
        <v>1935</v>
      </c>
      <c r="I72" s="36">
        <v>0.85</v>
      </c>
      <c r="J72" s="36">
        <f t="shared" si="3"/>
        <v>1644.75</v>
      </c>
    </row>
    <row r="73" ht="16.5" spans="1:10">
      <c r="A73" s="27"/>
      <c r="B73" s="28"/>
      <c r="C73" s="28"/>
      <c r="D73" s="70"/>
      <c r="E73" s="28"/>
      <c r="F73" s="67"/>
      <c r="G73" s="36" t="s">
        <v>242</v>
      </c>
      <c r="H73" s="42">
        <v>19</v>
      </c>
      <c r="I73" s="36">
        <v>0</v>
      </c>
      <c r="J73" s="36">
        <f t="shared" si="3"/>
        <v>0</v>
      </c>
    </row>
    <row r="74" ht="16.5" spans="1:10">
      <c r="A74" s="27"/>
      <c r="B74" s="28"/>
      <c r="C74" s="28"/>
      <c r="D74" s="70"/>
      <c r="E74" s="28"/>
      <c r="F74" s="68"/>
      <c r="G74" s="42" t="s">
        <v>243</v>
      </c>
      <c r="H74" s="77">
        <f>48+105+135+90+45</f>
        <v>423</v>
      </c>
      <c r="I74" s="36">
        <v>0.15</v>
      </c>
      <c r="J74" s="36">
        <f t="shared" si="3"/>
        <v>63.45</v>
      </c>
    </row>
    <row r="75" ht="16.5" spans="10:10">
      <c r="J75" s="78">
        <f>SUM(J3:J74)</f>
        <v>202405.5</v>
      </c>
    </row>
  </sheetData>
  <autoFilter xmlns:etc="http://www.wps.cn/officeDocument/2017/etCustomData" ref="A1:J75" etc:filterBottomFollowUsedRange="0">
    <extLst/>
  </autoFilter>
  <mergeCells count="73">
    <mergeCell ref="A1:J1"/>
    <mergeCell ref="A3:A6"/>
    <mergeCell ref="A7:A10"/>
    <mergeCell ref="A12:A16"/>
    <mergeCell ref="A17:A22"/>
    <mergeCell ref="A23:A29"/>
    <mergeCell ref="A30:A34"/>
    <mergeCell ref="A35:A40"/>
    <mergeCell ref="A41:A46"/>
    <mergeCell ref="A47:A52"/>
    <mergeCell ref="A53:A58"/>
    <mergeCell ref="A59:A69"/>
    <mergeCell ref="A70:A74"/>
    <mergeCell ref="B3:B6"/>
    <mergeCell ref="B7:B10"/>
    <mergeCell ref="B12:B16"/>
    <mergeCell ref="B17:B22"/>
    <mergeCell ref="B23:B29"/>
    <mergeCell ref="B30:B34"/>
    <mergeCell ref="B35:B40"/>
    <mergeCell ref="B41:B46"/>
    <mergeCell ref="B47:B52"/>
    <mergeCell ref="B53:B58"/>
    <mergeCell ref="B59:B69"/>
    <mergeCell ref="B70:B74"/>
    <mergeCell ref="C3:C6"/>
    <mergeCell ref="C7:C10"/>
    <mergeCell ref="C12:C16"/>
    <mergeCell ref="C17:C22"/>
    <mergeCell ref="C23:C29"/>
    <mergeCell ref="C30:C34"/>
    <mergeCell ref="C35:C40"/>
    <mergeCell ref="C41:C46"/>
    <mergeCell ref="C47:C52"/>
    <mergeCell ref="C53:C58"/>
    <mergeCell ref="C59:C69"/>
    <mergeCell ref="C70:C74"/>
    <mergeCell ref="D3:D6"/>
    <mergeCell ref="D7:D10"/>
    <mergeCell ref="D12:D16"/>
    <mergeCell ref="D17:D22"/>
    <mergeCell ref="D23:D29"/>
    <mergeCell ref="D30:D34"/>
    <mergeCell ref="D35:D40"/>
    <mergeCell ref="D41:D46"/>
    <mergeCell ref="D47:D52"/>
    <mergeCell ref="D53:D58"/>
    <mergeCell ref="D59:D69"/>
    <mergeCell ref="D70:D74"/>
    <mergeCell ref="E3:E6"/>
    <mergeCell ref="E7:E10"/>
    <mergeCell ref="E12:E16"/>
    <mergeCell ref="E17:E22"/>
    <mergeCell ref="E23:E29"/>
    <mergeCell ref="E30:E34"/>
    <mergeCell ref="E35:E40"/>
    <mergeCell ref="E41:E46"/>
    <mergeCell ref="E47:E52"/>
    <mergeCell ref="E53:E58"/>
    <mergeCell ref="E59:E69"/>
    <mergeCell ref="E70:E74"/>
    <mergeCell ref="F3:F6"/>
    <mergeCell ref="F9:F10"/>
    <mergeCell ref="F12:F14"/>
    <mergeCell ref="F17:F21"/>
    <mergeCell ref="F23:F29"/>
    <mergeCell ref="F30:F34"/>
    <mergeCell ref="F35:F40"/>
    <mergeCell ref="F41:F46"/>
    <mergeCell ref="F47:F52"/>
    <mergeCell ref="F53:F58"/>
    <mergeCell ref="F59:F69"/>
    <mergeCell ref="F70:F7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D27" sqref="D27"/>
    </sheetView>
  </sheetViews>
  <sheetFormatPr defaultColWidth="8.71818181818182" defaultRowHeight="14"/>
  <cols>
    <col min="1" max="1" width="13.1818181818182" customWidth="1"/>
    <col min="2" max="2" width="10.7181818181818" customWidth="1"/>
    <col min="3" max="3" width="8.28181818181818" style="24" customWidth="1"/>
    <col min="4" max="4" width="22.4636363636364" customWidth="1"/>
    <col min="5" max="5" width="32" customWidth="1"/>
    <col min="6" max="6" width="17.3727272727273" style="25" customWidth="1"/>
    <col min="7" max="7" width="56.0909090909091" customWidth="1"/>
    <col min="8" max="8" width="9.45454545454546" customWidth="1"/>
    <col min="9" max="9" width="12.3727272727273" customWidth="1"/>
    <col min="10" max="10" width="11.5454545454545" customWidth="1"/>
    <col min="11" max="11" width="9.54545454545454"/>
  </cols>
  <sheetData>
    <row r="1" s="1" customFormat="1" ht="21" spans="1:10">
      <c r="A1" s="2" t="s">
        <v>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2" t="s">
        <v>14</v>
      </c>
    </row>
    <row r="3" s="1" customFormat="1" ht="16.5" spans="1:11">
      <c r="A3" s="44">
        <v>45642</v>
      </c>
      <c r="B3" s="36" t="s">
        <v>244</v>
      </c>
      <c r="C3" s="28">
        <v>17476</v>
      </c>
      <c r="D3" s="45" t="s">
        <v>245</v>
      </c>
      <c r="E3" s="46" t="s">
        <v>246</v>
      </c>
      <c r="F3" s="47" t="s">
        <v>247</v>
      </c>
      <c r="G3" s="42" t="s">
        <v>248</v>
      </c>
      <c r="H3" s="42">
        <v>5400</v>
      </c>
      <c r="I3" s="53">
        <v>0.195</v>
      </c>
      <c r="J3" s="42">
        <f>H3*I3</f>
        <v>1053</v>
      </c>
      <c r="K3" s="40"/>
    </row>
    <row r="4" s="1" customFormat="1" ht="16.5" spans="1:10">
      <c r="A4" s="37"/>
      <c r="B4"/>
      <c r="C4" s="24"/>
      <c r="D4"/>
      <c r="E4" s="38"/>
      <c r="F4" s="39"/>
      <c r="G4"/>
      <c r="H4"/>
      <c r="I4" s="43" t="s">
        <v>49</v>
      </c>
      <c r="J4" s="43">
        <f>SUM(J3:J3)</f>
        <v>1053</v>
      </c>
    </row>
    <row r="5" spans="1:6">
      <c r="A5" s="38"/>
      <c r="F5" s="40"/>
    </row>
    <row r="7" ht="28.5" spans="1:10">
      <c r="A7" s="48" t="s">
        <v>249</v>
      </c>
      <c r="B7" s="48"/>
      <c r="C7" s="48"/>
      <c r="D7" s="48"/>
      <c r="E7" s="48"/>
      <c r="F7" s="48"/>
      <c r="G7" s="48"/>
      <c r="H7" s="48"/>
      <c r="I7" s="48"/>
      <c r="J7" s="48"/>
    </row>
    <row r="8" ht="14.5" spans="1:10">
      <c r="A8" s="49" t="s">
        <v>250</v>
      </c>
      <c r="B8" s="49" t="s">
        <v>251</v>
      </c>
      <c r="C8" s="49" t="s">
        <v>252</v>
      </c>
      <c r="D8" s="49" t="s">
        <v>253</v>
      </c>
      <c r="E8" s="49" t="s">
        <v>254</v>
      </c>
      <c r="F8" s="50" t="s">
        <v>255</v>
      </c>
      <c r="G8" s="49" t="s">
        <v>256</v>
      </c>
      <c r="H8" s="49" t="s">
        <v>257</v>
      </c>
      <c r="I8" s="49" t="s">
        <v>258</v>
      </c>
      <c r="J8" s="49" t="s">
        <v>259</v>
      </c>
    </row>
    <row r="9" ht="28.5" spans="1:10">
      <c r="A9" s="49"/>
      <c r="B9" s="49"/>
      <c r="C9" s="49"/>
      <c r="D9" s="49" t="s">
        <v>260</v>
      </c>
      <c r="E9" s="49"/>
      <c r="F9" s="50" t="s">
        <v>261</v>
      </c>
      <c r="G9" s="49"/>
      <c r="H9" s="49"/>
      <c r="I9" s="51" t="s">
        <v>262</v>
      </c>
      <c r="J9" s="49"/>
    </row>
    <row r="10" ht="28" spans="1:10">
      <c r="A10" s="51">
        <v>1</v>
      </c>
      <c r="B10" s="52">
        <v>45747</v>
      </c>
      <c r="C10" s="49" t="s">
        <v>263</v>
      </c>
      <c r="D10" s="49" t="s">
        <v>264</v>
      </c>
      <c r="E10" s="49" t="s">
        <v>265</v>
      </c>
      <c r="F10" s="49" t="s">
        <v>266</v>
      </c>
      <c r="G10" s="49" t="s">
        <v>267</v>
      </c>
      <c r="H10" s="49">
        <v>5400</v>
      </c>
      <c r="I10" s="54">
        <v>1053</v>
      </c>
      <c r="J10" s="49"/>
    </row>
  </sheetData>
  <mergeCells count="9">
    <mergeCell ref="A1:J1"/>
    <mergeCell ref="A7:J7"/>
    <mergeCell ref="A8:A9"/>
    <mergeCell ref="B8:B9"/>
    <mergeCell ref="C8:C9"/>
    <mergeCell ref="E8:E9"/>
    <mergeCell ref="G8:G9"/>
    <mergeCell ref="H8:H9"/>
    <mergeCell ref="J8:J9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B22" sqref="B22"/>
    </sheetView>
  </sheetViews>
  <sheetFormatPr defaultColWidth="8.71818181818182" defaultRowHeight="14"/>
  <cols>
    <col min="1" max="1" width="13.1818181818182" customWidth="1"/>
    <col min="2" max="2" width="10.7181818181818" customWidth="1"/>
    <col min="3" max="3" width="8.28181818181818" style="24" customWidth="1"/>
    <col min="4" max="4" width="22.4636363636364" customWidth="1"/>
    <col min="5" max="5" width="32" customWidth="1"/>
    <col min="6" max="6" width="17.3727272727273" style="25" customWidth="1"/>
    <col min="7" max="7" width="56.0909090909091" customWidth="1"/>
    <col min="8" max="8" width="9.45454545454546" customWidth="1"/>
    <col min="9" max="9" width="12.3727272727273" customWidth="1"/>
    <col min="10" max="10" width="11.5454545454545" customWidth="1"/>
    <col min="12" max="12" width="10.5454545454545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41" t="s">
        <v>51</v>
      </c>
    </row>
    <row r="3" s="1" customFormat="1" ht="16.5" spans="1:11">
      <c r="A3" s="27">
        <v>45700</v>
      </c>
      <c r="B3" s="28" t="s">
        <v>39</v>
      </c>
      <c r="C3" s="28" t="s">
        <v>206</v>
      </c>
      <c r="D3" s="29" t="s">
        <v>207</v>
      </c>
      <c r="E3" s="28" t="s">
        <v>208</v>
      </c>
      <c r="F3" s="30" t="s">
        <v>209</v>
      </c>
      <c r="G3" s="31" t="s">
        <v>130</v>
      </c>
      <c r="H3" s="32">
        <v>8782</v>
      </c>
      <c r="I3" s="36">
        <v>1.07</v>
      </c>
      <c r="J3" s="42">
        <f>H3*I3</f>
        <v>9396.74</v>
      </c>
      <c r="K3" s="40"/>
    </row>
    <row r="4" s="1" customFormat="1" ht="16.5" spans="1:11">
      <c r="A4" s="27"/>
      <c r="B4" s="28"/>
      <c r="C4" s="28"/>
      <c r="D4" s="29"/>
      <c r="E4" s="28"/>
      <c r="F4" s="33"/>
      <c r="G4" s="31" t="s">
        <v>88</v>
      </c>
      <c r="H4" s="32">
        <f>H6*0.01</f>
        <v>85.26</v>
      </c>
      <c r="I4" s="36">
        <v>0</v>
      </c>
      <c r="J4" s="42">
        <f>H4*I4</f>
        <v>0</v>
      </c>
      <c r="K4" s="40"/>
    </row>
    <row r="5" s="1" customFormat="1" ht="16.5" spans="1:11">
      <c r="A5" s="27"/>
      <c r="B5" s="28"/>
      <c r="C5" s="28"/>
      <c r="D5" s="29"/>
      <c r="E5" s="28"/>
      <c r="F5" s="34"/>
      <c r="G5" s="31" t="s">
        <v>210</v>
      </c>
      <c r="H5" s="32">
        <f>20+5+5</f>
        <v>30</v>
      </c>
      <c r="I5" s="36">
        <v>0</v>
      </c>
      <c r="J5" s="42">
        <f>H5*I5</f>
        <v>0</v>
      </c>
      <c r="K5" s="40"/>
    </row>
    <row r="6" s="1" customFormat="1" ht="16.5" spans="1:11">
      <c r="A6" s="27"/>
      <c r="B6" s="28"/>
      <c r="C6" s="28"/>
      <c r="D6" s="29"/>
      <c r="E6" s="28"/>
      <c r="F6" s="35" t="s">
        <v>211</v>
      </c>
      <c r="G6" s="31" t="s">
        <v>71</v>
      </c>
      <c r="H6" s="36">
        <f>3500+2500+2500+26</f>
        <v>8526</v>
      </c>
      <c r="I6" s="36">
        <v>0.28</v>
      </c>
      <c r="J6" s="42">
        <f>H6*I6</f>
        <v>2387.28</v>
      </c>
      <c r="K6" s="40"/>
    </row>
    <row r="7" s="1" customFormat="1" ht="16.5" spans="1:11">
      <c r="A7" s="27"/>
      <c r="B7" s="28"/>
      <c r="C7" s="28"/>
      <c r="D7" s="29"/>
      <c r="E7" s="28"/>
      <c r="F7" s="35" t="s">
        <v>211</v>
      </c>
      <c r="G7" s="31" t="s">
        <v>212</v>
      </c>
      <c r="H7" s="36">
        <f>250+175</f>
        <v>425</v>
      </c>
      <c r="I7" s="36">
        <v>0.042</v>
      </c>
      <c r="J7" s="42">
        <f>H7*I7</f>
        <v>17.85</v>
      </c>
      <c r="K7" s="40"/>
    </row>
    <row r="8" s="1" customFormat="1" ht="16.5" spans="1:11">
      <c r="A8" s="37"/>
      <c r="B8"/>
      <c r="C8" s="24"/>
      <c r="D8"/>
      <c r="E8" s="38"/>
      <c r="F8" s="39"/>
      <c r="G8"/>
      <c r="H8"/>
      <c r="I8" s="43" t="s">
        <v>49</v>
      </c>
      <c r="J8" s="43">
        <f>SUM(J3:J7)</f>
        <v>11801.87</v>
      </c>
      <c r="K8"/>
    </row>
    <row r="9" spans="1:6">
      <c r="A9" s="38"/>
      <c r="F9" s="40"/>
    </row>
  </sheetData>
  <mergeCells count="7">
    <mergeCell ref="A1:J1"/>
    <mergeCell ref="A3:A7"/>
    <mergeCell ref="B3:B7"/>
    <mergeCell ref="C3:C7"/>
    <mergeCell ref="D3:D7"/>
    <mergeCell ref="E3:E7"/>
    <mergeCell ref="F3:F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C35" sqref="C35"/>
    </sheetView>
  </sheetViews>
  <sheetFormatPr defaultColWidth="8.71818181818182" defaultRowHeight="14"/>
  <cols>
    <col min="1" max="1" width="16" style="1" customWidth="1"/>
    <col min="2" max="2" width="13" style="1" customWidth="1"/>
    <col min="3" max="3" width="9.09090909090909" style="1" customWidth="1"/>
    <col min="4" max="4" width="15" style="1" customWidth="1"/>
    <col min="5" max="5" width="24.8181818181818" style="1" customWidth="1"/>
    <col min="6" max="6" width="49.6272727272727" style="1" customWidth="1"/>
    <col min="7" max="7" width="12.9090909090909" style="1" customWidth="1"/>
    <col min="8" max="8" width="11.5454545454545" style="1" customWidth="1"/>
    <col min="9" max="9" width="12.9090909090909" style="1" customWidth="1"/>
    <col min="10" max="10" width="23" style="1" customWidth="1"/>
    <col min="11" max="16384" width="8.71818181818182" style="1"/>
  </cols>
  <sheetData>
    <row r="1" s="1" customFormat="1" ht="21" spans="1:9">
      <c r="A1" s="2" t="s">
        <v>268</v>
      </c>
      <c r="B1" s="3"/>
      <c r="C1" s="3"/>
      <c r="D1" s="4"/>
      <c r="E1" s="3"/>
      <c r="F1" s="3"/>
      <c r="G1" s="3"/>
      <c r="H1" s="3"/>
      <c r="I1" s="3"/>
    </row>
    <row r="2" s="1" customFormat="1" spans="1:9">
      <c r="A2" s="5" t="s">
        <v>269</v>
      </c>
      <c r="B2" s="5" t="s">
        <v>270</v>
      </c>
      <c r="C2" s="5" t="s">
        <v>271</v>
      </c>
      <c r="D2" s="6" t="s">
        <v>4</v>
      </c>
      <c r="E2" s="5" t="s">
        <v>272</v>
      </c>
      <c r="F2" s="7" t="s">
        <v>273</v>
      </c>
      <c r="G2" s="8" t="s">
        <v>274</v>
      </c>
      <c r="H2" s="9" t="s">
        <v>275</v>
      </c>
      <c r="I2" s="22" t="s">
        <v>51</v>
      </c>
    </row>
    <row r="3" s="1" customFormat="1" ht="16" customHeight="1" spans="1:9">
      <c r="A3" s="10">
        <v>45404</v>
      </c>
      <c r="B3" s="11" t="s">
        <v>15</v>
      </c>
      <c r="C3" s="12" t="s">
        <v>276</v>
      </c>
      <c r="D3" s="13" t="s">
        <v>277</v>
      </c>
      <c r="E3" s="12" t="s">
        <v>278</v>
      </c>
      <c r="F3" s="14" t="s">
        <v>279</v>
      </c>
      <c r="G3" s="14">
        <v>32500</v>
      </c>
      <c r="H3" s="14">
        <v>0.13</v>
      </c>
      <c r="I3" s="14">
        <f t="shared" ref="I3:I9" si="0">G3*H3</f>
        <v>4225</v>
      </c>
    </row>
    <row r="4" s="1" customFormat="1" ht="16" customHeight="1" spans="1:9">
      <c r="A4" s="15"/>
      <c r="B4" s="16"/>
      <c r="C4" s="17"/>
      <c r="D4" s="18"/>
      <c r="E4" s="17"/>
      <c r="F4" s="14" t="s">
        <v>280</v>
      </c>
      <c r="G4" s="14">
        <f>G3*4</f>
        <v>130000</v>
      </c>
      <c r="H4" s="14">
        <v>0.042</v>
      </c>
      <c r="I4" s="14">
        <f t="shared" si="0"/>
        <v>5460</v>
      </c>
    </row>
    <row r="5" s="1" customFormat="1" ht="16" customHeight="1" spans="1:9">
      <c r="A5" s="15"/>
      <c r="B5" s="16"/>
      <c r="C5" s="17"/>
      <c r="D5" s="18"/>
      <c r="E5" s="17"/>
      <c r="F5" s="19" t="s">
        <v>281</v>
      </c>
      <c r="G5" s="19">
        <v>32500</v>
      </c>
      <c r="H5" s="19">
        <v>0.03</v>
      </c>
      <c r="I5" s="19">
        <f t="shared" si="0"/>
        <v>975</v>
      </c>
    </row>
    <row r="6" s="1" customFormat="1" ht="16" customHeight="1" spans="1:9">
      <c r="A6" s="15"/>
      <c r="B6" s="16"/>
      <c r="C6" s="17"/>
      <c r="D6" s="18"/>
      <c r="E6" s="17"/>
      <c r="F6" s="19" t="s">
        <v>282</v>
      </c>
      <c r="G6" s="19">
        <v>32500</v>
      </c>
      <c r="H6" s="19">
        <v>0.25</v>
      </c>
      <c r="I6" s="19">
        <f t="shared" si="0"/>
        <v>8125</v>
      </c>
    </row>
    <row r="7" s="1" customFormat="1" ht="16" customHeight="1" spans="1:9">
      <c r="A7" s="15"/>
      <c r="B7" s="16"/>
      <c r="C7" s="17"/>
      <c r="D7" s="18"/>
      <c r="E7" s="17"/>
      <c r="F7" s="19" t="s">
        <v>21</v>
      </c>
      <c r="G7" s="19">
        <v>32500</v>
      </c>
      <c r="H7" s="19">
        <v>0.294</v>
      </c>
      <c r="I7" s="19">
        <f t="shared" si="0"/>
        <v>9555</v>
      </c>
    </row>
    <row r="8" s="1" customFormat="1" ht="16" customHeight="1" spans="1:9">
      <c r="A8" s="15"/>
      <c r="B8" s="16"/>
      <c r="C8" s="17"/>
      <c r="D8" s="18"/>
      <c r="E8" s="17"/>
      <c r="F8" s="19" t="s">
        <v>283</v>
      </c>
      <c r="G8" s="19">
        <v>32500</v>
      </c>
      <c r="H8" s="19">
        <v>0</v>
      </c>
      <c r="I8" s="19">
        <f t="shared" si="0"/>
        <v>0</v>
      </c>
    </row>
    <row r="9" s="1" customFormat="1" ht="16" customHeight="1" spans="1:9">
      <c r="A9" s="15"/>
      <c r="B9" s="16"/>
      <c r="C9" s="17"/>
      <c r="D9" s="18"/>
      <c r="E9" s="17"/>
      <c r="F9" s="19" t="s">
        <v>22</v>
      </c>
      <c r="G9" s="19">
        <v>32500</v>
      </c>
      <c r="H9" s="19">
        <v>0.116</v>
      </c>
      <c r="I9" s="19">
        <f t="shared" si="0"/>
        <v>3770</v>
      </c>
    </row>
    <row r="10" s="1" customFormat="1" ht="17.5" spans="1:9">
      <c r="A10" s="20" t="s">
        <v>49</v>
      </c>
      <c r="B10" s="20"/>
      <c r="C10" s="20"/>
      <c r="D10" s="20"/>
      <c r="E10" s="20"/>
      <c r="F10" s="20"/>
      <c r="G10" s="20"/>
      <c r="H10" s="20"/>
      <c r="I10" s="23">
        <f>SUM(I3:I9)</f>
        <v>32110</v>
      </c>
    </row>
    <row r="11" s="1" customFormat="1" ht="17.5" spans="1:9">
      <c r="A11" s="21"/>
      <c r="B11" s="21"/>
      <c r="C11" s="21"/>
      <c r="D11" s="21"/>
      <c r="E11" s="21"/>
      <c r="F11" s="21"/>
      <c r="G11" s="21"/>
      <c r="H11" s="21"/>
      <c r="I11" s="21"/>
    </row>
  </sheetData>
  <mergeCells count="6">
    <mergeCell ref="A1:I1"/>
    <mergeCell ref="A3:A9"/>
    <mergeCell ref="B3:B9"/>
    <mergeCell ref="C3:C9"/>
    <mergeCell ref="D3:D9"/>
    <mergeCell ref="E3:E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2024-5月-7月-已开票</vt:lpstr>
      <vt:lpstr>8月Adela-国内</vt:lpstr>
      <vt:lpstr>8月Adela-孟加拉</vt:lpstr>
      <vt:lpstr>Sheet1</vt:lpstr>
      <vt:lpstr>4月Emily</vt:lpstr>
      <vt:lpstr>4月Adela (2)</vt:lpstr>
      <vt:lpstr>12月miranda</vt:lpstr>
      <vt:lpstr>对账单</vt:lpstr>
      <vt:lpstr>4月已开票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2025-09-18T07:39:41Z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71EB6D6336A24DE9AB11CC6E31CC8C01_13</vt:lpwstr>
  </property>
</Properties>
</file>