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750" windowHeight="12080" firstSheet="1" activeTab="1"/>
  </bookViews>
  <sheets>
    <sheet name="2024-5月-7月-已开票" sheetId="19" state="hidden" r:id="rId1"/>
    <sheet name="9月Adela-国内" sheetId="20" r:id="rId2"/>
    <sheet name="9月Adela-孟加拉" sheetId="29" r:id="rId3"/>
    <sheet name="4月Emily" sheetId="27" state="hidden" r:id="rId4"/>
    <sheet name="4月Adela (2)" sheetId="28" state="hidden" r:id="rId5"/>
    <sheet name="12月miranda" sheetId="24" state="hidden" r:id="rId6"/>
    <sheet name="对账单" sheetId="26" state="hidden" r:id="rId7"/>
    <sheet name="4月已开票" sheetId="21" state="hidden" r:id="rId8"/>
  </sheets>
  <definedNames>
    <definedName name="_xlnm._FilterDatabase" localSheetId="0" hidden="1">'2024-5月-7月-已开票'!$A$2:$O$36</definedName>
    <definedName name="_xlnm._FilterDatabase" localSheetId="1" hidden="1">'9月Adela-国内'!$A$1:$J$65</definedName>
    <definedName name="_xlnm._FilterDatabase" localSheetId="2" hidden="1">'9月Adela-孟加拉'!$A$1:$J$27</definedName>
    <definedName name="_xlnm._FilterDatabase" localSheetId="3" hidden="1">'4月Emily'!$A$1:$J$20</definedName>
    <definedName name="_xlnm._FilterDatabase" localSheetId="4" hidden="1">'4月Adela (2)'!$A$1:$J$75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<sst xmlns="http://schemas.openxmlformats.org/spreadsheetml/2006/main" count="601" uniqueCount="261">
  <si>
    <t>同德2024对 账 单-Recall</t>
  </si>
  <si>
    <t>下单时间</t>
  </si>
  <si>
    <t>客户联系人</t>
  </si>
  <si>
    <t>PO号</t>
  </si>
  <si>
    <t>睿颢合同号</t>
  </si>
  <si>
    <t>款号</t>
  </si>
  <si>
    <t>出货时间</t>
  </si>
  <si>
    <t>实出货数</t>
  </si>
  <si>
    <t>其中备用数</t>
  </si>
  <si>
    <t>对账数</t>
  </si>
  <si>
    <t>单价</t>
  </si>
  <si>
    <t>合计金额</t>
  </si>
  <si>
    <t>品名</t>
  </si>
  <si>
    <t>数量(片）</t>
  </si>
  <si>
    <t>金额(RMB)</t>
  </si>
  <si>
    <t>Nicole</t>
  </si>
  <si>
    <t>RBSKNJTD002</t>
  </si>
  <si>
    <t>WARRIOR 6806-046-401/805
BANGLADESH 男上</t>
  </si>
  <si>
    <t>2024/6/27</t>
  </si>
  <si>
    <t>白色织标WLBCGEN014（02B）-51*51mm</t>
  </si>
  <si>
    <t>白色缎带洗标CLBCGEN003*8页-63*25mm</t>
  </si>
  <si>
    <t>白色吊牌HPBCGEN001-60*95mm</t>
  </si>
  <si>
    <t>黑色吊绳 MRBCGEN004-320*1.5mm</t>
  </si>
  <si>
    <t>RBSKNJTD003</t>
  </si>
  <si>
    <t>WOODSIDE 6807-046-743/800
BANGLADESH 男上</t>
  </si>
  <si>
    <t>白色缎带洗标CLBCGEN003*6页-63*25mm</t>
  </si>
  <si>
    <t>Vincent</t>
  </si>
  <si>
    <t>RBSKNJTD004</t>
  </si>
  <si>
    <t>WARRIOR 6806-046-401/805
ASOS BANGLADESH 男上</t>
  </si>
  <si>
    <t>白色吊牌HPBCGEN001-60*95mm-ASOS</t>
  </si>
  <si>
    <t>ASOS贴纸101.6*38.1mm（热胶）BKSKR24011</t>
  </si>
  <si>
    <t>拷贝纸BKOTH24006-45*30cm</t>
  </si>
  <si>
    <t>RBSKNJTD005</t>
  </si>
  <si>
    <t>WOODSIDE 6807-046-743/800
ASOS BANGLADESH 男上</t>
  </si>
  <si>
    <t>57263
57264
58410
57457
59448
59451</t>
  </si>
  <si>
    <t>RBSKNJTD006</t>
  </si>
  <si>
    <t>PANDORA 6774-046-800
BANGLADESH 男上</t>
  </si>
  <si>
    <t>黑色织标BKWOL24011-51*51mm</t>
  </si>
  <si>
    <t>白色缎带洗标CLBCGEN003*7页-60*25mm（加页码）</t>
  </si>
  <si>
    <t>Adela</t>
  </si>
  <si>
    <t>57263
57264</t>
  </si>
  <si>
    <t>RBSKNJTD007</t>
  </si>
  <si>
    <t>PANDORA 6774-046-800
BANGLADESH 男上
翻1</t>
  </si>
  <si>
    <t>/</t>
  </si>
  <si>
    <t>RBSKNJTD008</t>
  </si>
  <si>
    <t>PANDORA 6774-046-800
BANGLADESH 男上
翻2</t>
  </si>
  <si>
    <t>直接替换未出货</t>
  </si>
  <si>
    <t>白色缎带洗标CLBCGEN003*1页-63*25mm-做错</t>
  </si>
  <si>
    <t>价格贴：红 BKSKR24002 蓝 BKSKR24001-复合</t>
  </si>
  <si>
    <t>合计</t>
  </si>
  <si>
    <t>同德2025对 账 单-Recall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</si>
  <si>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(RMB)</t>
    </r>
  </si>
  <si>
    <t>RBSKNJTD009</t>
  </si>
  <si>
    <t>PANDORA 6774-046-800
BANGLADESH 男上
翻3</t>
  </si>
  <si>
    <t>未出货 客人取消</t>
  </si>
  <si>
    <t>RBSKNJTD015</t>
  </si>
  <si>
    <t>2025.1.23</t>
  </si>
  <si>
    <t>白色胶带洗标35*100mm</t>
  </si>
  <si>
    <t>81793
83333</t>
  </si>
  <si>
    <t>RBSKNJTD058</t>
  </si>
  <si>
    <t>CONTRA 6400-046-812
China 男上装</t>
  </si>
  <si>
    <t>2025.7.5</t>
  </si>
  <si>
    <t>黑色 吊绳 MRBCGEN004-320*1.5mm</t>
  </si>
  <si>
    <t>2025.6.29</t>
  </si>
  <si>
    <t>白色缎带洗标CLBCGEN003*5页-60*25mm（加页码）</t>
  </si>
  <si>
    <t>空白标BKKBXM24002（60*25mm）</t>
  </si>
  <si>
    <t>2025.6.27</t>
  </si>
  <si>
    <t>白色织标WLBCGEN017（05B）-65*19mm</t>
  </si>
  <si>
    <t>2025.7.18</t>
  </si>
  <si>
    <t>缎带BSK警告标  ADBCGEN002-120*55mm</t>
  </si>
  <si>
    <t>2025.7.9</t>
  </si>
  <si>
    <t>油性拷贝纸-75*100cm-21g BKOTH25008</t>
  </si>
  <si>
    <t>82766
82767
84341
84767</t>
  </si>
  <si>
    <t>RBSKNJTD063</t>
  </si>
  <si>
    <t>PINTA 3606-140-800
BANGLADESH 男上装 夹克 翻单4</t>
  </si>
  <si>
    <t>2025.7.17</t>
  </si>
  <si>
    <t>WLBCRFI005 RFID白织标-51*51mm</t>
  </si>
  <si>
    <t>WLBCRFI005 RFID白织标-51*51mm-免费损耗1%</t>
  </si>
  <si>
    <t>83887
84184
84770</t>
  </si>
  <si>
    <t>RBSKNJTD065</t>
  </si>
  <si>
    <t>PALOMA 6770-046-800
BANGLADESH 男上装 翻单6</t>
  </si>
  <si>
    <t>RBSKNJTD068</t>
  </si>
  <si>
    <t>PINTA 3606-140-800
BANGLADESH 男上装 夹克 翻单6</t>
  </si>
  <si>
    <t>WLBCRFI005 RFID白织标-51*51mm（+3%）</t>
  </si>
  <si>
    <t>2025.7.31</t>
  </si>
  <si>
    <t>RBSKNJTD069</t>
  </si>
  <si>
    <t>PINTA 3606-046-802
BANGLADESH 男上背心 RFID加单10</t>
  </si>
  <si>
    <t>40002
40003
40051
85319</t>
  </si>
  <si>
    <t>RBSKNJTD073</t>
  </si>
  <si>
    <t>PRINGLE 6821-046-250/800
BANGLADESH 男上装</t>
  </si>
  <si>
    <t>2025.8.6</t>
  </si>
  <si>
    <t>白色吊牌HPBCRFI001-60*95mm-RFID LOGO</t>
  </si>
  <si>
    <t>2025.8.1</t>
  </si>
  <si>
    <t>黑色织标WLBCRFI006-51*51mm-RFID(+3%)</t>
  </si>
  <si>
    <t>黑色织标WLBCRFI006-51*51mm-免费损耗1%</t>
  </si>
  <si>
    <t>黑色织标WLBCRFI006-51*51mm-大货样</t>
  </si>
  <si>
    <t>87001
85375
86576</t>
  </si>
  <si>
    <t>RBSKNJTD074</t>
  </si>
  <si>
    <t>PALOMA 6770-046-800
BANGLADESH 男上装 翻单7</t>
  </si>
  <si>
    <t>RBSKNJTD075</t>
  </si>
  <si>
    <t>PINTA 3606-140-800
BANGLADESH 男上装 夹克 翻单7</t>
  </si>
  <si>
    <t>RBSKNJTD077</t>
  </si>
  <si>
    <t>PINTA 3606-140-800
BANGLADESH 男上装 夹克 翻单8</t>
  </si>
  <si>
    <t>WLBCRFI005 RFID白织标-51*51mm-免费大货样</t>
  </si>
  <si>
    <t>RBSKNJTD078</t>
  </si>
  <si>
    <t>PRINGLE 6821-046-800
BANGLADESH 男上装 翻单1</t>
  </si>
  <si>
    <t>2025.8.14</t>
  </si>
  <si>
    <t>85616
86023</t>
  </si>
  <si>
    <t>RBSKNJTD081</t>
  </si>
  <si>
    <t>8615-545-800
China 女上装</t>
  </si>
  <si>
    <t>2025.8.28</t>
  </si>
  <si>
    <t>黑色织标WLBCRFI006-51*51mm-RFID</t>
  </si>
  <si>
    <t>2025.8.29</t>
  </si>
  <si>
    <t>价格贴：红 BKSKR24002 蓝 BKSKR24001</t>
  </si>
  <si>
    <t>2025.8.27</t>
  </si>
  <si>
    <t>发  票  通  知  单</t>
  </si>
  <si>
    <r>
      <rPr>
        <sz val="11"/>
        <color theme="1"/>
        <rFont val="宋体"/>
        <charset val="134"/>
      </rPr>
      <t>编号</t>
    </r>
    <r>
      <rPr>
        <sz val="11"/>
        <color theme="1"/>
        <rFont val="Calibri"/>
        <charset val="134"/>
      </rPr>
      <t>                         </t>
    </r>
    <r>
      <rPr>
        <sz val="11"/>
        <color theme="1"/>
        <rFont val="宋体"/>
        <charset val="134"/>
      </rPr>
      <t>（发票张数）</t>
    </r>
    <r>
      <rPr>
        <sz val="11"/>
        <color theme="1"/>
        <rFont val="Calibri"/>
        <charset val="134"/>
      </rPr>
      <t>      </t>
    </r>
  </si>
  <si>
    <t>申请日期</t>
  </si>
  <si>
    <t>客户</t>
  </si>
  <si>
    <r>
      <rPr>
        <sz val="11"/>
        <color theme="1"/>
        <rFont val="宋体"/>
        <charset val="134"/>
      </rPr>
      <t>开票抬头</t>
    </r>
    <r>
      <rPr>
        <sz val="11"/>
        <color theme="1"/>
        <rFont val="Calibri"/>
        <charset val="134"/>
      </rPr>
      <t>  </t>
    </r>
  </si>
  <si>
    <r>
      <rPr>
        <sz val="11"/>
        <color theme="1"/>
        <rFont val="宋体"/>
        <charset val="134"/>
      </rPr>
      <t>货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物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或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应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税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劳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务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名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称</t>
    </r>
    <r>
      <rPr>
        <sz val="11"/>
        <color theme="1"/>
        <rFont val="Calibri"/>
        <charset val="134"/>
      </rPr>
      <t>              </t>
    </r>
    <r>
      <rPr>
        <sz val="11"/>
        <color theme="1"/>
        <rFont val="宋体"/>
        <charset val="134"/>
      </rPr>
      <t>（比如吊粒，吊牌等，大致写一下就可以）</t>
    </r>
  </si>
  <si>
    <r>
      <rPr>
        <sz val="11"/>
        <color theme="1"/>
        <rFont val="宋体"/>
        <charset val="134"/>
      </rPr>
      <t>   规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格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型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号</t>
    </r>
    <r>
      <rPr>
        <sz val="11"/>
        <color theme="1"/>
        <rFont val="Calibri"/>
        <charset val="134"/>
      </rPr>
      <t> </t>
    </r>
  </si>
  <si>
    <t>单位</t>
  </si>
  <si>
    <r>
      <rPr>
        <sz val="11"/>
        <color theme="1"/>
        <rFont val="宋体"/>
        <charset val="134"/>
      </rPr>
      <t>数</t>
    </r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量</t>
    </r>
  </si>
  <si>
    <r>
      <rPr>
        <sz val="11"/>
        <color theme="1"/>
        <rFont val="宋体"/>
        <charset val="134"/>
      </rPr>
      <t>金额</t>
    </r>
    <r>
      <rPr>
        <sz val="11"/>
        <color theme="1"/>
        <rFont val="Calibri"/>
        <charset val="134"/>
      </rPr>
      <t> </t>
    </r>
  </si>
  <si>
    <t>备注</t>
  </si>
  <si>
    <t>（请填写全名）</t>
  </si>
  <si>
    <r>
      <rPr>
        <sz val="11"/>
        <color theme="1"/>
        <rFont val="宋体"/>
        <charset val="134"/>
      </rPr>
      <t>（如果不需要注明的请写</t>
    </r>
    <r>
      <rPr>
        <sz val="11"/>
        <color theme="1"/>
        <rFont val="Calibri"/>
        <charset val="134"/>
      </rPr>
      <t>“</t>
    </r>
    <r>
      <rPr>
        <sz val="11"/>
        <color theme="1"/>
        <rFont val="宋体"/>
        <charset val="134"/>
      </rPr>
      <t>无</t>
    </r>
    <r>
      <rPr>
        <sz val="11"/>
        <color theme="1"/>
        <rFont val="Calibri"/>
        <charset val="134"/>
      </rPr>
      <t>”</t>
    </r>
    <r>
      <rPr>
        <sz val="11"/>
        <color theme="1"/>
        <rFont val="宋体"/>
        <charset val="134"/>
      </rPr>
      <t>）</t>
    </r>
  </si>
  <si>
    <r>
      <rPr>
        <sz val="11"/>
        <color theme="1"/>
        <rFont val="Calibri"/>
        <charset val="134"/>
      </rPr>
      <t> </t>
    </r>
    <r>
      <rPr>
        <sz val="11"/>
        <color theme="1"/>
        <rFont val="宋体"/>
        <charset val="134"/>
      </rPr>
      <t>（一张发票的总金额）</t>
    </r>
  </si>
  <si>
    <t>同德</t>
  </si>
  <si>
    <t>南京同德服装有限公司</t>
  </si>
  <si>
    <t>按客户要求开</t>
  </si>
  <si>
    <r>
      <rPr>
        <sz val="10"/>
        <rFont val="宋体"/>
        <charset val="134"/>
      </rPr>
      <t>金额</t>
    </r>
    <r>
      <rPr>
        <sz val="10"/>
        <rFont val="Arial"/>
        <charset val="134"/>
      </rPr>
      <t>(USD)</t>
    </r>
  </si>
  <si>
    <t>RBSKNJTD033</t>
  </si>
  <si>
    <t>PINTA 3606-046-802
BANGLADESH 男上背心 RFID加单1 补单</t>
  </si>
  <si>
    <t>2025.4.19</t>
  </si>
  <si>
    <t>白色缎带洗标CLBCGEN003*1页-60*25mm（S码条码页）</t>
  </si>
  <si>
    <t>77944
77918
78414
78832</t>
  </si>
  <si>
    <t>RBSKNJTD031</t>
  </si>
  <si>
    <t>PINTA 3606-140-800/802
BANGLADESH 男上装 夹克</t>
  </si>
  <si>
    <t>2025.5.13</t>
  </si>
  <si>
    <t>白色缎带洗标CLBCGEN003*2页-60*25mm（加页码）</t>
  </si>
  <si>
    <t>2025.5.18</t>
  </si>
  <si>
    <t>白色缎带洗标CLBCGEN003*2页-60*25mm（1%损耗）</t>
  </si>
  <si>
    <t>78414</t>
  </si>
  <si>
    <t>RBSKNJTD055</t>
  </si>
  <si>
    <t>PINTA 3606-140-800
BANGLADESH 男上装 夹克 翻单2</t>
  </si>
  <si>
    <t>2025.6.25</t>
  </si>
  <si>
    <t>白色吊牌HPBCGEN001-60*95mm-1%损耗</t>
  </si>
  <si>
    <t>RBSKNJTD060</t>
  </si>
  <si>
    <t>PINTA 3606-140-800
BANGLADESH 男上装 夹克 翻单3</t>
  </si>
  <si>
    <t>2025.7.7</t>
  </si>
  <si>
    <t>81982
82768</t>
  </si>
  <si>
    <t>RBSKNJTD066</t>
  </si>
  <si>
    <t>PINTA 3606-046-802
BANGLADESH 男上背心 RFID加单9</t>
  </si>
  <si>
    <t>2025.7.15</t>
  </si>
  <si>
    <t>RBSKNJTD067</t>
  </si>
  <si>
    <t>PINTA 3606-140-800
BANGLADESH 男上装 夹克 翻单5</t>
  </si>
  <si>
    <t>2025.7.19</t>
  </si>
  <si>
    <t>RBSKNJTD072</t>
  </si>
  <si>
    <t>NEGRONI  6809-046-800
BANGLADESH 男上装 翻单1</t>
  </si>
  <si>
    <t>白色吊牌HPBCRFI001-60*95mm-RFID LOGO（ZALA）</t>
  </si>
  <si>
    <t>白色吊牌HPBCRFI001-60*95mm-RFID LOGO（ZALA）-损耗1%</t>
  </si>
  <si>
    <t>2025.8.16</t>
  </si>
  <si>
    <t>MP贴纸101.6*38.1mm（热胶）BKSKR24011</t>
  </si>
  <si>
    <t>MP贴纸101.6*38.1mm（热胶）BKSKR24011-损耗1%</t>
  </si>
  <si>
    <t>RBSKNJTD079</t>
  </si>
  <si>
    <t>ACHIOTE 6795-046
BANGLADESH 男上装 翻单1</t>
  </si>
  <si>
    <t>2025.8.18</t>
  </si>
  <si>
    <t>纸板-35*54cm-300g BKOTH25053</t>
  </si>
  <si>
    <t>纸板-35*54cm-300g BKOTH25053-5%损耗</t>
  </si>
  <si>
    <t>RBSKNJTD087</t>
  </si>
  <si>
    <t>PRINGLE 6821-046
BANGLADESH 男上装 补单</t>
  </si>
  <si>
    <t>2025.9.10</t>
  </si>
  <si>
    <t>白色缎带洗标CLBCGEN003*1页-60*25mm（第5页洗语页）</t>
  </si>
  <si>
    <t>白色缎带洗标CLBCGEN003*1页-60*25mm（1%损耗）</t>
  </si>
  <si>
    <t>RBSKNJTD088</t>
  </si>
  <si>
    <t>PINTA 3606-046-802
BANGLADESH 男上背心 RFID加单11</t>
  </si>
  <si>
    <t>2025.9.13</t>
  </si>
  <si>
    <t>白色缎带洗标CLBCGEN003*2页-60*25mm（条码页+产地页）</t>
  </si>
  <si>
    <t>白色缎带洗标CLBCGEN003*2页-60*25mm-1%损耗</t>
  </si>
  <si>
    <t>2025.9.15</t>
  </si>
  <si>
    <t>Emily</t>
  </si>
  <si>
    <t>76619
76933
76934
76935</t>
  </si>
  <si>
    <t>RBSKNJTD020</t>
  </si>
  <si>
    <t>MISO 6776-046-600/800
BANGLADESH 男上装 夹克</t>
  </si>
  <si>
    <t>2025.3.27</t>
  </si>
  <si>
    <t>WLBCRFI005 RFID白织标-51*51mm（+2%）</t>
  </si>
  <si>
    <t>白色缎带洗标CLBCGEN003*4页-60*25mm（加页码）</t>
  </si>
  <si>
    <t>77253
77468</t>
  </si>
  <si>
    <t>RBSKNJTD026</t>
  </si>
  <si>
    <t>MISO 6776-046-600/800
BANGLADESH 男上装 夹克 加单</t>
  </si>
  <si>
    <t>2025.4.9</t>
  </si>
  <si>
    <t>纸板-32cm*48cm-300g BKOTH25001</t>
  </si>
  <si>
    <t>17906 17905 17904 18276
15168</t>
  </si>
  <si>
    <t>RBSKNJTD014</t>
  </si>
  <si>
    <t>PINTA 3606-046-800/802
BANGLADESH 男上 背心</t>
  </si>
  <si>
    <t>2025.1.16</t>
  </si>
  <si>
    <t>白色织标WLBCGEN014-51*51mm</t>
  </si>
  <si>
    <t>17904
17905
17906
18276</t>
  </si>
  <si>
    <t>RBSKNJTD016</t>
  </si>
  <si>
    <t>PINTA 3606-046-800/802
BANGLADESH 男上 背心(更新RFID)</t>
  </si>
  <si>
    <t>2025.2.13
2025.2.18</t>
  </si>
  <si>
    <t>WLBCRFI005 RFID白织标-51*51mm-大货样</t>
  </si>
  <si>
    <t>2025.2.18</t>
  </si>
  <si>
    <t>白色缎带洗标CLBCGEN003*5页-60*25mm（只做条码页）</t>
  </si>
  <si>
    <r>
      <rPr>
        <sz val="11"/>
        <rFont val="微软雅黑"/>
        <charset val="134"/>
      </rPr>
      <t>76381</t>
    </r>
    <r>
      <rPr>
        <sz val="11"/>
        <color rgb="FFFF0000"/>
        <rFont val="微软雅黑"/>
        <charset val="134"/>
      </rPr>
      <t xml:space="preserve">
</t>
    </r>
    <r>
      <rPr>
        <sz val="11"/>
        <rFont val="微软雅黑"/>
        <charset val="134"/>
      </rPr>
      <t>76382</t>
    </r>
  </si>
  <si>
    <t>RBSKNJTD017</t>
  </si>
  <si>
    <t>PINTA 3606-046-800/802
BANGLADESH 男上背心 RFID加单1</t>
  </si>
  <si>
    <t>2025.2.22</t>
  </si>
  <si>
    <t>白色吊牌HPBCGEN001-60*95mm-ZALA</t>
  </si>
  <si>
    <t>76321
76414
76516
76517</t>
  </si>
  <si>
    <t>RBSKNJTD018</t>
  </si>
  <si>
    <t>PALOMA 6770-046-800
BANGLADESH 男上装</t>
  </si>
  <si>
    <t>2025.3.28</t>
  </si>
  <si>
    <t>RBSKNJTD019</t>
  </si>
  <si>
    <t>PINTA 3606-046-800/802
BANGLADESH 男上背心 RFID加单2</t>
  </si>
  <si>
    <t>2025.3.20</t>
  </si>
  <si>
    <t>RBSKNJTD021</t>
  </si>
  <si>
    <t>PINTA 3606-046-800/802
BANGLADESH 男上背心 RFID加单3</t>
  </si>
  <si>
    <t>WLBCRFI005 RFID白织标-51*51mm（+1%）</t>
  </si>
  <si>
    <t>WLBCRFI005 RFID白织标-51*51mm-新增</t>
  </si>
  <si>
    <t>76613
76615
76366
76413</t>
  </si>
  <si>
    <t>RBSKNJTD022</t>
  </si>
  <si>
    <t>PALOMATU 6773-777-800
BANGLADESH 男上装</t>
  </si>
  <si>
    <t>77272
77274</t>
  </si>
  <si>
    <t>RBSKNJTD024</t>
  </si>
  <si>
    <t>PALOMA 6770-046-800
BANGLADESH 男上装 翻单1</t>
  </si>
  <si>
    <t>Emily
吊绳单独放</t>
  </si>
  <si>
    <t>77271
77276
77277
77278
77279
77280
77281
77340</t>
  </si>
  <si>
    <t>RBSKNJTD036</t>
  </si>
  <si>
    <t>MISO 5419-046-600/800
BANGLADESH 男下装 裤子 补单</t>
  </si>
  <si>
    <t>2025.4.17</t>
  </si>
  <si>
    <t>白色缎带洗标CLBCGEN003*4页-60*25mm</t>
  </si>
  <si>
    <t>白色RFID织标WLBCRFI015-65*19mm</t>
  </si>
  <si>
    <t>白色RFID织标WLBCRFI015-65*19mm-免费损耗1%</t>
  </si>
  <si>
    <t>白色织标WLBCGEN020(06B）-85*20mm</t>
  </si>
  <si>
    <t>miranda</t>
  </si>
  <si>
    <t>RBSKNJTD012</t>
  </si>
  <si>
    <t>1003-409、415、416、051</t>
  </si>
  <si>
    <t>2024.12.21</t>
  </si>
  <si>
    <t>纸板-24.5cm*34.5cm-300gBKOTH24007</t>
  </si>
  <si>
    <t>佰益进服装南京有限公司</t>
  </si>
  <si>
    <t>纸板</t>
  </si>
  <si>
    <t>按照对账单开</t>
  </si>
  <si>
    <t>个</t>
  </si>
  <si>
    <r>
      <rPr>
        <b/>
        <sz val="16"/>
        <color theme="1"/>
        <rFont val="宋体"/>
        <charset val="134"/>
      </rPr>
      <t>同德</t>
    </r>
    <r>
      <rPr>
        <b/>
        <sz val="16"/>
        <color theme="1"/>
        <rFont val="Arial"/>
        <charset val="134"/>
      </rPr>
      <t>2024</t>
    </r>
    <r>
      <rPr>
        <b/>
        <sz val="16"/>
        <color theme="1"/>
        <rFont val="宋体"/>
        <charset val="134"/>
      </rPr>
      <t>对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账</t>
    </r>
    <r>
      <rPr>
        <b/>
        <sz val="16"/>
        <color theme="1"/>
        <rFont val="Arial"/>
        <charset val="134"/>
      </rPr>
      <t xml:space="preserve"> </t>
    </r>
    <r>
      <rPr>
        <b/>
        <sz val="16"/>
        <color theme="1"/>
        <rFont val="宋体"/>
        <charset val="134"/>
      </rPr>
      <t>单</t>
    </r>
    <r>
      <rPr>
        <b/>
        <sz val="16"/>
        <color theme="1"/>
        <rFont val="Arial"/>
        <charset val="134"/>
      </rPr>
      <t>-Recall</t>
    </r>
  </si>
  <si>
    <r>
      <rPr>
        <sz val="10"/>
        <rFont val="宋体"/>
        <charset val="134"/>
      </rPr>
      <t>下单时间</t>
    </r>
  </si>
  <si>
    <r>
      <rPr>
        <sz val="10"/>
        <rFont val="宋体"/>
        <charset val="134"/>
      </rPr>
      <t>客户联系人</t>
    </r>
  </si>
  <si>
    <r>
      <rPr>
        <sz val="10"/>
        <rFont val="Arial"/>
        <charset val="134"/>
      </rPr>
      <t>PO</t>
    </r>
    <r>
      <rPr>
        <sz val="10"/>
        <rFont val="宋体"/>
        <charset val="134"/>
      </rPr>
      <t>号</t>
    </r>
  </si>
  <si>
    <r>
      <rPr>
        <sz val="10"/>
        <rFont val="宋体"/>
        <charset val="134"/>
      </rPr>
      <t>款号</t>
    </r>
  </si>
  <si>
    <r>
      <rPr>
        <sz val="10"/>
        <rFont val="宋体"/>
        <charset val="134"/>
      </rPr>
      <t>品名</t>
    </r>
  </si>
  <si>
    <r>
      <rPr>
        <sz val="10"/>
        <rFont val="宋体"/>
        <charset val="134"/>
      </rPr>
      <t>数量</t>
    </r>
    <r>
      <rPr>
        <sz val="10"/>
        <rFont val="Arial"/>
        <charset val="134"/>
      </rPr>
      <t>(</t>
    </r>
    <r>
      <rPr>
        <sz val="10"/>
        <rFont val="宋体"/>
        <charset val="134"/>
      </rPr>
      <t>片）</t>
    </r>
  </si>
  <si>
    <r>
      <rPr>
        <sz val="10"/>
        <rFont val="宋体"/>
        <charset val="134"/>
      </rPr>
      <t>单价</t>
    </r>
  </si>
  <si>
    <t>43343
43344
43348
43350</t>
  </si>
  <si>
    <t>RBSKNJTD001</t>
  </si>
  <si>
    <t>1364-046-505
Cambodia 男上</t>
  </si>
  <si>
    <t>白色织标WLBCGEN017-65*19mm</t>
  </si>
  <si>
    <t>白色缎带洗标CLBCGEN003*4页-63*25mm</t>
  </si>
  <si>
    <t>BKKBXM24002 空白标（63*25mm）</t>
  </si>
  <si>
    <t>纸板-25cm*35cm-300g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</si>
</sst>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8" formatCode="&quot;￥&quot;#,##0.00;[Red]&quot;￥&quot;\-#,##0.00"/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\¥#,##0.00_);[Red]\(\¥#,##0.00\)"/>
    <numFmt numFmtId="179" formatCode="0.00_ "/>
    <numFmt numFmtId="180" formatCode="0_ "/>
    <numFmt numFmtId="181" formatCode="0.000_);[Red]\(0.000\)"/>
    <numFmt numFmtId="182" formatCode="0.0000_);[Red]\(0.0000\)"/>
  </numFmts>
  <fonts count="45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</font>
    <font>
      <b/>
      <sz val="16"/>
      <color theme="1"/>
      <name val="Arial"/>
      <charset val="134"/>
    </font>
    <font>
      <sz val="16"/>
      <color theme="1"/>
      <name val="Arial"/>
      <charset val="134"/>
    </font>
    <font>
      <sz val="10"/>
      <name val="Arial"/>
      <charset val="134"/>
    </font>
    <font>
      <sz val="10"/>
      <name val="宋体"/>
      <charset val="134"/>
    </font>
    <font>
      <sz val="11"/>
      <color theme="1"/>
      <name val="微软雅黑"/>
      <charset val="134"/>
    </font>
    <font>
      <b/>
      <u/>
      <sz val="11"/>
      <name val="微软雅黑"/>
      <charset val="134"/>
    </font>
    <font>
      <sz val="11"/>
      <name val="微软雅黑"/>
      <charset val="134"/>
    </font>
    <font>
      <sz val="14"/>
      <color theme="1"/>
      <name val="宋体"/>
      <charset val="134"/>
      <scheme val="minor"/>
    </font>
    <font>
      <b/>
      <u/>
      <sz val="11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22"/>
      <color theme="1"/>
      <name val="Calibri"/>
      <charset val="134"/>
    </font>
    <font>
      <sz val="11"/>
      <color theme="1"/>
      <name val="宋体"/>
      <charset val="134"/>
    </font>
    <font>
      <sz val="11"/>
      <color theme="1"/>
      <name val="Calibri"/>
      <charset val="134"/>
    </font>
    <font>
      <sz val="11"/>
      <color theme="1"/>
      <name val="等线"/>
      <charset val="134"/>
    </font>
    <font>
      <b/>
      <sz val="11"/>
      <name val="微软雅黑"/>
      <charset val="134"/>
    </font>
    <font>
      <sz val="11"/>
      <color rgb="FFFF0000"/>
      <name val="微软雅黑"/>
      <charset val="134"/>
    </font>
    <font>
      <b/>
      <sz val="11"/>
      <color theme="1"/>
      <name val="微软雅黑"/>
      <charset val="134"/>
    </font>
    <font>
      <sz val="11"/>
      <name val="宋体"/>
      <charset val="134"/>
      <scheme val="minor"/>
    </font>
    <font>
      <b/>
      <sz val="11"/>
      <color rgb="FF000000"/>
      <name val="宋体"/>
      <charset val="134"/>
    </font>
    <font>
      <b/>
      <sz val="11"/>
      <color rgb="FFFF0000"/>
      <name val="微软雅黑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color rgb="FF000000"/>
      <name val="Arial"/>
      <charset val="0"/>
    </font>
    <font>
      <sz val="8"/>
      <color rgb="FF000000"/>
      <name val="Arial"/>
      <charset val="0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2" tint="-0.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5" borderId="10" applyNumberFormat="0" applyFont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11" applyNumberFormat="0" applyFill="0" applyAlignment="0" applyProtection="0">
      <alignment vertical="center"/>
    </xf>
    <xf numFmtId="0" fontId="29" fillId="0" borderId="11" applyNumberFormat="0" applyFill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6" borderId="13" applyNumberFormat="0" applyAlignment="0" applyProtection="0">
      <alignment vertical="center"/>
    </xf>
    <xf numFmtId="0" fontId="32" fillId="7" borderId="14" applyNumberFormat="0" applyAlignment="0" applyProtection="0">
      <alignment vertical="center"/>
    </xf>
    <xf numFmtId="0" fontId="33" fillId="7" borderId="13" applyNumberFormat="0" applyAlignment="0" applyProtection="0">
      <alignment vertical="center"/>
    </xf>
    <xf numFmtId="0" fontId="34" fillId="8" borderId="15" applyNumberFormat="0" applyAlignment="0" applyProtection="0">
      <alignment vertical="center"/>
    </xf>
    <xf numFmtId="0" fontId="35" fillId="0" borderId="16" applyNumberFormat="0" applyFill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9" fillId="11" borderId="0" applyNumberFormat="0" applyBorder="0" applyAlignment="0" applyProtection="0">
      <alignment vertical="center"/>
    </xf>
    <xf numFmtId="0" fontId="40" fillId="12" borderId="0" applyNumberFormat="0" applyBorder="0" applyAlignment="0" applyProtection="0">
      <alignment vertical="center"/>
    </xf>
    <xf numFmtId="0" fontId="41" fillId="13" borderId="0" applyNumberFormat="0" applyBorder="0" applyAlignment="0" applyProtection="0">
      <alignment vertical="center"/>
    </xf>
    <xf numFmtId="0" fontId="41" fillId="14" borderId="0" applyNumberFormat="0" applyBorder="0" applyAlignment="0" applyProtection="0">
      <alignment vertical="center"/>
    </xf>
    <xf numFmtId="0" fontId="40" fillId="15" borderId="0" applyNumberFormat="0" applyBorder="0" applyAlignment="0" applyProtection="0">
      <alignment vertical="center"/>
    </xf>
    <xf numFmtId="0" fontId="40" fillId="16" borderId="0" applyNumberFormat="0" applyBorder="0" applyAlignment="0" applyProtection="0">
      <alignment vertical="center"/>
    </xf>
    <xf numFmtId="0" fontId="41" fillId="17" borderId="0" applyNumberFormat="0" applyBorder="0" applyAlignment="0" applyProtection="0">
      <alignment vertical="center"/>
    </xf>
    <xf numFmtId="0" fontId="41" fillId="18" borderId="0" applyNumberFormat="0" applyBorder="0" applyAlignment="0" applyProtection="0">
      <alignment vertical="center"/>
    </xf>
    <xf numFmtId="0" fontId="40" fillId="19" borderId="0" applyNumberFormat="0" applyBorder="0" applyAlignment="0" applyProtection="0">
      <alignment vertical="center"/>
    </xf>
    <xf numFmtId="0" fontId="40" fillId="3" borderId="0" applyNumberFormat="0" applyBorder="0" applyAlignment="0" applyProtection="0">
      <alignment vertical="center"/>
    </xf>
    <xf numFmtId="0" fontId="41" fillId="20" borderId="0" applyNumberFormat="0" applyBorder="0" applyAlignment="0" applyProtection="0">
      <alignment vertical="center"/>
    </xf>
    <xf numFmtId="0" fontId="41" fillId="21" borderId="0" applyNumberFormat="0" applyBorder="0" applyAlignment="0" applyProtection="0">
      <alignment vertical="center"/>
    </xf>
    <xf numFmtId="0" fontId="40" fillId="22" borderId="0" applyNumberFormat="0" applyBorder="0" applyAlignment="0" applyProtection="0">
      <alignment vertical="center"/>
    </xf>
    <xf numFmtId="0" fontId="40" fillId="23" borderId="0" applyNumberFormat="0" applyBorder="0" applyAlignment="0" applyProtection="0">
      <alignment vertical="center"/>
    </xf>
    <xf numFmtId="0" fontId="41" fillId="24" borderId="0" applyNumberFormat="0" applyBorder="0" applyAlignment="0" applyProtection="0">
      <alignment vertical="center"/>
    </xf>
    <xf numFmtId="0" fontId="41" fillId="25" borderId="0" applyNumberFormat="0" applyBorder="0" applyAlignment="0" applyProtection="0">
      <alignment vertical="center"/>
    </xf>
    <xf numFmtId="0" fontId="40" fillId="26" borderId="0" applyNumberFormat="0" applyBorder="0" applyAlignment="0" applyProtection="0">
      <alignment vertical="center"/>
    </xf>
    <xf numFmtId="0" fontId="40" fillId="27" borderId="0" applyNumberFormat="0" applyBorder="0" applyAlignment="0" applyProtection="0">
      <alignment vertical="center"/>
    </xf>
    <xf numFmtId="0" fontId="41" fillId="28" borderId="0" applyNumberFormat="0" applyBorder="0" applyAlignment="0" applyProtection="0">
      <alignment vertical="center"/>
    </xf>
    <xf numFmtId="0" fontId="41" fillId="29" borderId="0" applyNumberFormat="0" applyBorder="0" applyAlignment="0" applyProtection="0">
      <alignment vertical="center"/>
    </xf>
    <xf numFmtId="0" fontId="40" fillId="30" borderId="0" applyNumberFormat="0" applyBorder="0" applyAlignment="0" applyProtection="0">
      <alignment vertical="center"/>
    </xf>
    <xf numFmtId="0" fontId="40" fillId="31" borderId="0" applyNumberFormat="0" applyBorder="0" applyAlignment="0" applyProtection="0">
      <alignment vertical="center"/>
    </xf>
    <xf numFmtId="0" fontId="41" fillId="32" borderId="0" applyNumberFormat="0" applyBorder="0" applyAlignment="0" applyProtection="0">
      <alignment vertical="center"/>
    </xf>
    <xf numFmtId="0" fontId="41" fillId="33" borderId="0" applyNumberFormat="0" applyBorder="0" applyAlignment="0" applyProtection="0">
      <alignment vertical="center"/>
    </xf>
    <xf numFmtId="0" fontId="40" fillId="34" borderId="0" applyNumberFormat="0" applyBorder="0" applyAlignment="0" applyProtection="0">
      <alignment vertical="center"/>
    </xf>
    <xf numFmtId="0" fontId="42" fillId="0" borderId="0">
      <alignment horizontal="center" vertical="center"/>
    </xf>
    <xf numFmtId="0" fontId="43" fillId="0" borderId="0">
      <alignment horizontal="center" vertical="center"/>
    </xf>
    <xf numFmtId="0" fontId="43" fillId="0" borderId="0">
      <alignment horizontal="center" vertical="center"/>
    </xf>
    <xf numFmtId="0" fontId="44" fillId="0" borderId="0">
      <alignment vertical="center"/>
    </xf>
    <xf numFmtId="0" fontId="0" fillId="0" borderId="0">
      <alignment vertical="center"/>
    </xf>
    <xf numFmtId="0" fontId="43" fillId="0" borderId="0">
      <alignment horizontal="center" vertical="center"/>
    </xf>
  </cellStyleXfs>
  <cellXfs count="130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/>
    </xf>
    <xf numFmtId="177" fontId="4" fillId="0" borderId="1" xfId="0" applyNumberFormat="1" applyFont="1" applyFill="1" applyBorder="1" applyAlignment="1">
      <alignment horizontal="center" vertical="center"/>
    </xf>
    <xf numFmtId="14" fontId="6" fillId="2" borderId="2" xfId="0" applyNumberFormat="1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>
      <alignment vertical="center"/>
    </xf>
    <xf numFmtId="178" fontId="4" fillId="0" borderId="1" xfId="0" applyNumberFormat="1" applyFont="1" applyFill="1" applyBorder="1" applyAlignment="1">
      <alignment horizontal="center" vertical="center"/>
    </xf>
    <xf numFmtId="179" fontId="9" fillId="0" borderId="0" xfId="0" applyNumberFormat="1" applyFont="1" applyFill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4" fontId="6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180" fontId="6" fillId="0" borderId="1" xfId="0" applyNumberFormat="1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0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14" fontId="6" fillId="0" borderId="6" xfId="0" applyNumberFormat="1" applyFont="1" applyFill="1" applyBorder="1" applyAlignment="1">
      <alignment horizontal="center" vertical="center"/>
    </xf>
    <xf numFmtId="0" fontId="0" fillId="0" borderId="0" xfId="0" applyBorder="1">
      <alignment vertical="center"/>
    </xf>
    <xf numFmtId="14" fontId="0" fillId="0" borderId="0" xfId="0" applyNumberForma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178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14" fontId="6" fillId="0" borderId="1" xfId="0" applyNumberFormat="1" applyFont="1" applyFill="1" applyBorder="1" applyAlignment="1">
      <alignment vertical="center"/>
    </xf>
    <xf numFmtId="0" fontId="7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/>
    </xf>
    <xf numFmtId="0" fontId="12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58" fontId="13" fillId="0" borderId="7" xfId="0" applyNumberFormat="1" applyFont="1" applyBorder="1" applyAlignment="1">
      <alignment horizontal="center" vertical="center" wrapText="1"/>
    </xf>
    <xf numFmtId="181" fontId="8" fillId="0" borderId="1" xfId="0" applyNumberFormat="1" applyFont="1" applyFill="1" applyBorder="1" applyAlignment="1">
      <alignment horizontal="center" vertical="center"/>
    </xf>
    <xf numFmtId="8" fontId="15" fillId="0" borderId="7" xfId="0" applyNumberFormat="1" applyFont="1" applyBorder="1" applyAlignment="1">
      <alignment horizontal="center" vertical="center" wrapText="1"/>
    </xf>
    <xf numFmtId="14" fontId="6" fillId="0" borderId="8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/>
    </xf>
    <xf numFmtId="14" fontId="0" fillId="0" borderId="1" xfId="0" applyNumberFormat="1" applyFill="1" applyBorder="1" applyAlignment="1">
      <alignment horizontal="center" vertical="center"/>
    </xf>
    <xf numFmtId="14" fontId="6" fillId="0" borderId="3" xfId="0" applyNumberFormat="1" applyFont="1" applyFill="1" applyBorder="1" applyAlignment="1">
      <alignment horizontal="center" vertical="center"/>
    </xf>
    <xf numFmtId="14" fontId="6" fillId="0" borderId="1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4" fontId="0" fillId="0" borderId="2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17" fillId="0" borderId="1" xfId="0" applyFont="1" applyFill="1" applyBorder="1" applyAlignment="1">
      <alignment horizontal="center" vertical="center" wrapText="1"/>
    </xf>
    <xf numFmtId="14" fontId="0" fillId="0" borderId="3" xfId="0" applyNumberFormat="1" applyFont="1" applyFill="1" applyBorder="1" applyAlignment="1">
      <alignment horizontal="center" vertical="center" wrapText="1"/>
    </xf>
    <xf numFmtId="14" fontId="0" fillId="0" borderId="5" xfId="0" applyNumberFormat="1" applyFont="1" applyFill="1" applyBorder="1" applyAlignment="1">
      <alignment horizontal="center" vertical="center" wrapText="1"/>
    </xf>
    <xf numFmtId="14" fontId="0" fillId="0" borderId="1" xfId="0" applyNumberFormat="1" applyFont="1" applyFill="1" applyBorder="1" applyAlignment="1">
      <alignment horizontal="center" vertical="center" wrapText="1"/>
    </xf>
    <xf numFmtId="0" fontId="1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/>
    </xf>
    <xf numFmtId="180" fontId="8" fillId="0" borderId="2" xfId="0" applyNumberFormat="1" applyFont="1" applyFill="1" applyBorder="1" applyAlignment="1">
      <alignment horizontal="center" vertical="center"/>
    </xf>
    <xf numFmtId="14" fontId="19" fillId="0" borderId="1" xfId="0" applyNumberFormat="1" applyFont="1" applyFill="1" applyBorder="1" applyAlignment="1">
      <alignment horizontal="center" vertical="center" wrapText="1"/>
    </xf>
    <xf numFmtId="182" fontId="8" fillId="0" borderId="1" xfId="0" applyNumberFormat="1" applyFont="1" applyFill="1" applyBorder="1" applyAlignment="1">
      <alignment horizontal="center" vertical="center"/>
    </xf>
    <xf numFmtId="182" fontId="6" fillId="0" borderId="1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180" fontId="8" fillId="0" borderId="1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14" fontId="17" fillId="0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 wrapText="1"/>
    </xf>
    <xf numFmtId="14" fontId="22" fillId="0" borderId="1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14" fontId="18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14" fontId="6" fillId="0" borderId="2" xfId="0" applyNumberFormat="1" applyFont="1" applyFill="1" applyBorder="1" applyAlignment="1">
      <alignment horizontal="center" vertical="center" wrapText="1"/>
    </xf>
    <xf numFmtId="14" fontId="6" fillId="0" borderId="3" xfId="0" applyNumberFormat="1" applyFont="1" applyFill="1" applyBorder="1" applyAlignment="1">
      <alignment horizontal="center" vertical="center" wrapText="1"/>
    </xf>
    <xf numFmtId="14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14" fontId="16" fillId="0" borderId="1" xfId="0" applyNumberFormat="1" applyFont="1" applyFill="1" applyBorder="1" applyAlignment="1">
      <alignment horizontal="center" vertical="center" wrapText="1"/>
    </xf>
    <xf numFmtId="14" fontId="8" fillId="0" borderId="2" xfId="0" applyNumberFormat="1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>
      <alignment horizontal="center" vertical="center" wrapText="1"/>
    </xf>
    <xf numFmtId="14" fontId="8" fillId="0" borderId="3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179" fontId="6" fillId="0" borderId="1" xfId="0" applyNumberFormat="1" applyFont="1" applyFill="1" applyBorder="1" applyAlignment="1">
      <alignment horizontal="center" vertical="center"/>
    </xf>
    <xf numFmtId="179" fontId="18" fillId="0" borderId="0" xfId="0" applyNumberFormat="1" applyFont="1" applyAlignment="1">
      <alignment horizontal="center" vertical="center"/>
    </xf>
    <xf numFmtId="14" fontId="6" fillId="3" borderId="1" xfId="0" applyNumberFormat="1" applyFont="1" applyFill="1" applyBorder="1" applyAlignment="1">
      <alignment horizontal="center" vertical="center" wrapText="1"/>
    </xf>
    <xf numFmtId="49" fontId="6" fillId="3" borderId="1" xfId="0" applyNumberFormat="1" applyFont="1" applyFill="1" applyBorder="1" applyAlignment="1">
      <alignment horizontal="center" vertical="center" wrapText="1"/>
    </xf>
    <xf numFmtId="14" fontId="18" fillId="3" borderId="1" xfId="0" applyNumberFormat="1" applyFont="1" applyFill="1" applyBorder="1" applyAlignment="1">
      <alignment horizontal="center" vertical="center" wrapText="1"/>
    </xf>
    <xf numFmtId="14" fontId="6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/>
    </xf>
    <xf numFmtId="14" fontId="6" fillId="3" borderId="3" xfId="0" applyNumberFormat="1" applyFont="1" applyFill="1" applyBorder="1" applyAlignment="1">
      <alignment horizontal="center" vertical="center" wrapText="1"/>
    </xf>
    <xf numFmtId="14" fontId="6" fillId="3" borderId="5" xfId="0" applyNumberFormat="1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  <xf numFmtId="0" fontId="18" fillId="0" borderId="1" xfId="0" applyNumberFormat="1" applyFont="1" applyFill="1" applyBorder="1" applyAlignment="1">
      <alignment horizontal="center" vertical="center" wrapText="1"/>
    </xf>
    <xf numFmtId="0" fontId="6" fillId="0" borderId="2" xfId="0" applyNumberFormat="1" applyFont="1" applyFill="1" applyBorder="1" applyAlignment="1">
      <alignment horizontal="center" vertical="center"/>
    </xf>
    <xf numFmtId="0" fontId="8" fillId="0" borderId="2" xfId="0" applyNumberFormat="1" applyFont="1" applyFill="1" applyBorder="1" applyAlignment="1">
      <alignment horizontal="center" vertical="center"/>
    </xf>
    <xf numFmtId="14" fontId="6" fillId="0" borderId="5" xfId="0" applyNumberFormat="1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/>
    </xf>
    <xf numFmtId="0" fontId="14" fillId="0" borderId="9" xfId="0" applyFont="1" applyFill="1" applyBorder="1" applyAlignment="1">
      <alignment horizontal="center" vertical="center" wrapText="1"/>
    </xf>
    <xf numFmtId="58" fontId="13" fillId="0" borderId="9" xfId="0" applyNumberFormat="1" applyFont="1" applyFill="1" applyBorder="1" applyAlignment="1">
      <alignment horizontal="center" vertical="center" wrapText="1"/>
    </xf>
    <xf numFmtId="0" fontId="13" fillId="0" borderId="9" xfId="0" applyFont="1" applyFill="1" applyBorder="1" applyAlignment="1">
      <alignment horizontal="center" vertical="center" wrapText="1"/>
    </xf>
    <xf numFmtId="179" fontId="18" fillId="0" borderId="0" xfId="0" applyNumberFormat="1" applyFont="1">
      <alignment vertical="center"/>
    </xf>
    <xf numFmtId="8" fontId="15" fillId="0" borderId="9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180" fontId="6" fillId="2" borderId="1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4" borderId="1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S0" xfId="49"/>
    <cellStyle name="S1" xfId="50"/>
    <cellStyle name="S2" xfId="51"/>
    <cellStyle name="常规 2" xfId="52"/>
    <cellStyle name="常规 3" xfId="53"/>
    <cellStyle name="S3" xfId="54"/>
  </cellStyles>
  <tableStyles count="0" defaultTableStyle="TableStyleMedium9" defaultPivotStyle="PivotStyleLight16"/>
  <colors>
    <mruColors>
      <color rgb="00000000"/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tyles" Target="styl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37"/>
  <sheetViews>
    <sheetView view="pageBreakPreview" zoomScale="80" zoomScaleNormal="100" topLeftCell="C4" workbookViewId="0">
      <selection activeCell="L11" sqref="L11:M12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9.3636363636364" style="1" customWidth="1"/>
    <col min="5" max="11" width="24.8181818181818" style="1" customWidth="1"/>
    <col min="12" max="12" width="49.6363636363636" style="1" customWidth="1"/>
    <col min="13" max="13" width="12.9090909090909" style="1" customWidth="1"/>
    <col min="14" max="14" width="11.5454545454545" style="1" customWidth="1"/>
    <col min="15" max="15" width="15.0909090909091" style="1" customWidth="1"/>
    <col min="16" max="16" width="23" style="1" customWidth="1"/>
    <col min="17" max="16384" width="8.72727272727273" style="1"/>
  </cols>
  <sheetData>
    <row r="1" ht="21" spans="1:15">
      <c r="A1" s="2" t="s">
        <v>0</v>
      </c>
      <c r="B1" s="3"/>
      <c r="C1" s="3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5">
      <c r="A2" s="5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6" t="s">
        <v>6</v>
      </c>
      <c r="G2" s="6" t="s">
        <v>7</v>
      </c>
      <c r="H2" s="6" t="s">
        <v>8</v>
      </c>
      <c r="I2" s="6" t="s">
        <v>9</v>
      </c>
      <c r="J2" s="6" t="s">
        <v>10</v>
      </c>
      <c r="K2" s="6" t="s">
        <v>11</v>
      </c>
      <c r="L2" s="7" t="s">
        <v>12</v>
      </c>
      <c r="M2" s="8" t="s">
        <v>13</v>
      </c>
      <c r="N2" s="9" t="s">
        <v>10</v>
      </c>
      <c r="O2" s="22" t="s">
        <v>14</v>
      </c>
    </row>
    <row r="3" ht="16.5" spans="1:15">
      <c r="A3" s="117">
        <v>45439</v>
      </c>
      <c r="B3" s="14" t="s">
        <v>15</v>
      </c>
      <c r="C3" s="118">
        <v>54401</v>
      </c>
      <c r="D3" s="119" t="s">
        <v>16</v>
      </c>
      <c r="E3" s="118" t="s">
        <v>17</v>
      </c>
      <c r="F3" s="118" t="s">
        <v>18</v>
      </c>
      <c r="G3" s="120">
        <v>10500</v>
      </c>
      <c r="H3" s="120">
        <f t="shared" ref="H3:H32" si="0">G3-I3</f>
        <v>500</v>
      </c>
      <c r="I3" s="118">
        <v>10000</v>
      </c>
      <c r="J3" s="19">
        <v>0.368</v>
      </c>
      <c r="K3" s="127">
        <f t="shared" ref="K3:K35" si="1">I3*J3</f>
        <v>3680</v>
      </c>
      <c r="L3" s="11" t="s">
        <v>19</v>
      </c>
      <c r="M3" s="19">
        <v>21028</v>
      </c>
      <c r="N3" s="19">
        <v>0.368</v>
      </c>
      <c r="O3" s="19">
        <v>7738.304</v>
      </c>
    </row>
    <row r="4" ht="16.5" spans="1:15">
      <c r="A4" s="117"/>
      <c r="B4" s="14"/>
      <c r="C4" s="118"/>
      <c r="D4" s="119"/>
      <c r="E4" s="118"/>
      <c r="F4" s="121">
        <v>45476</v>
      </c>
      <c r="G4" s="120">
        <v>11582</v>
      </c>
      <c r="H4" s="120">
        <f t="shared" si="0"/>
        <v>554</v>
      </c>
      <c r="I4" s="118">
        <v>11028</v>
      </c>
      <c r="J4" s="19">
        <v>0.368</v>
      </c>
      <c r="K4" s="127">
        <f t="shared" si="1"/>
        <v>4058.304</v>
      </c>
      <c r="L4" s="128"/>
      <c r="M4" s="19"/>
      <c r="N4" s="19"/>
      <c r="O4" s="19"/>
    </row>
    <row r="5" ht="16.5" spans="1:15">
      <c r="A5" s="117"/>
      <c r="B5" s="14"/>
      <c r="C5" s="118"/>
      <c r="D5" s="119"/>
      <c r="E5" s="118"/>
      <c r="F5" s="118" t="s">
        <v>18</v>
      </c>
      <c r="G5" s="120">
        <v>10500</v>
      </c>
      <c r="H5" s="120">
        <f t="shared" si="0"/>
        <v>500</v>
      </c>
      <c r="I5" s="118">
        <v>10000</v>
      </c>
      <c r="J5" s="14">
        <f>0.042*8</f>
        <v>0.336</v>
      </c>
      <c r="K5" s="127">
        <f t="shared" si="1"/>
        <v>3360</v>
      </c>
      <c r="L5" s="127" t="s">
        <v>20</v>
      </c>
      <c r="M5" s="19">
        <v>21028</v>
      </c>
      <c r="N5" s="14">
        <f>0.042*8</f>
        <v>0.336</v>
      </c>
      <c r="O5" s="19">
        <v>7065.408</v>
      </c>
    </row>
    <row r="6" ht="16" customHeight="1" spans="1:15">
      <c r="A6" s="117"/>
      <c r="B6" s="14"/>
      <c r="C6" s="118"/>
      <c r="D6" s="119"/>
      <c r="E6" s="118"/>
      <c r="F6" s="121">
        <v>45476</v>
      </c>
      <c r="G6" s="120">
        <v>11583</v>
      </c>
      <c r="H6" s="120">
        <f t="shared" si="0"/>
        <v>555</v>
      </c>
      <c r="I6" s="118">
        <v>11028</v>
      </c>
      <c r="J6" s="14">
        <f>0.042*8</f>
        <v>0.336</v>
      </c>
      <c r="K6" s="127">
        <f t="shared" si="1"/>
        <v>3705.408</v>
      </c>
      <c r="L6" s="129"/>
      <c r="M6" s="19"/>
      <c r="N6" s="19"/>
      <c r="O6" s="19"/>
    </row>
    <row r="7" ht="16" customHeight="1" spans="1:15">
      <c r="A7" s="117"/>
      <c r="B7" s="14"/>
      <c r="C7" s="118"/>
      <c r="D7" s="119"/>
      <c r="E7" s="118"/>
      <c r="F7" s="121">
        <v>45476</v>
      </c>
      <c r="G7" s="120">
        <v>22079.4</v>
      </c>
      <c r="H7" s="120">
        <f t="shared" si="0"/>
        <v>1051.4</v>
      </c>
      <c r="I7" s="118">
        <v>21028</v>
      </c>
      <c r="J7" s="19">
        <v>0.294</v>
      </c>
      <c r="K7" s="127">
        <f t="shared" si="1"/>
        <v>6182.232</v>
      </c>
      <c r="L7" s="19" t="s">
        <v>21</v>
      </c>
      <c r="M7" s="19">
        <v>21028</v>
      </c>
      <c r="N7" s="19">
        <v>0.294</v>
      </c>
      <c r="O7" s="19">
        <v>6182.232</v>
      </c>
    </row>
    <row r="8" ht="16" customHeight="1" spans="1:15">
      <c r="A8" s="117"/>
      <c r="B8" s="14"/>
      <c r="C8" s="118"/>
      <c r="D8" s="119"/>
      <c r="E8" s="118"/>
      <c r="F8" s="121">
        <v>45476</v>
      </c>
      <c r="G8" s="120">
        <v>22079.4</v>
      </c>
      <c r="H8" s="120">
        <f t="shared" si="0"/>
        <v>1051.4</v>
      </c>
      <c r="I8" s="118">
        <v>21028</v>
      </c>
      <c r="J8" s="19">
        <v>0.116</v>
      </c>
      <c r="K8" s="127">
        <f t="shared" si="1"/>
        <v>2439.248</v>
      </c>
      <c r="L8" s="19" t="s">
        <v>22</v>
      </c>
      <c r="M8" s="19">
        <v>21028</v>
      </c>
      <c r="N8" s="19">
        <v>0.116</v>
      </c>
      <c r="O8" s="19">
        <v>2439.248</v>
      </c>
    </row>
    <row r="9" ht="16.5" spans="1:15">
      <c r="A9" s="117">
        <v>45439</v>
      </c>
      <c r="B9" s="14" t="s">
        <v>15</v>
      </c>
      <c r="C9" s="118">
        <v>54404</v>
      </c>
      <c r="D9" s="119" t="s">
        <v>23</v>
      </c>
      <c r="E9" s="118" t="s">
        <v>24</v>
      </c>
      <c r="F9" s="121">
        <v>45470</v>
      </c>
      <c r="G9" s="120">
        <f>I9*1.05</f>
        <v>31500</v>
      </c>
      <c r="H9" s="120">
        <f t="shared" si="0"/>
        <v>1500</v>
      </c>
      <c r="I9" s="118">
        <v>30000</v>
      </c>
      <c r="J9" s="19">
        <v>0.368</v>
      </c>
      <c r="K9" s="127">
        <f t="shared" si="1"/>
        <v>11040</v>
      </c>
      <c r="L9" s="11" t="s">
        <v>19</v>
      </c>
      <c r="M9" s="19">
        <v>31526</v>
      </c>
      <c r="N9" s="19">
        <v>0.368</v>
      </c>
      <c r="O9" s="19">
        <v>11601.568</v>
      </c>
    </row>
    <row r="10" ht="16.5" spans="1:15">
      <c r="A10" s="117"/>
      <c r="B10" s="14"/>
      <c r="C10" s="118"/>
      <c r="D10" s="119"/>
      <c r="E10" s="118"/>
      <c r="F10" s="121">
        <v>45476</v>
      </c>
      <c r="G10" s="120">
        <v>1605</v>
      </c>
      <c r="H10" s="120">
        <f t="shared" si="0"/>
        <v>79</v>
      </c>
      <c r="I10" s="118">
        <v>1526</v>
      </c>
      <c r="J10" s="19">
        <v>0.368</v>
      </c>
      <c r="K10" s="127">
        <f t="shared" si="1"/>
        <v>561.568</v>
      </c>
      <c r="L10" s="128"/>
      <c r="M10" s="19"/>
      <c r="N10" s="14"/>
      <c r="O10" s="19"/>
    </row>
    <row r="11" ht="16.5" spans="1:15">
      <c r="A11" s="117"/>
      <c r="B11" s="14"/>
      <c r="C11" s="118"/>
      <c r="D11" s="119"/>
      <c r="E11" s="118"/>
      <c r="F11" s="121">
        <v>45470</v>
      </c>
      <c r="G11" s="120">
        <f>I11*1.05</f>
        <v>31500</v>
      </c>
      <c r="H11" s="120">
        <f t="shared" si="0"/>
        <v>1500</v>
      </c>
      <c r="I11" s="118">
        <v>30000</v>
      </c>
      <c r="J11" s="14">
        <f>0.042*6</f>
        <v>0.252</v>
      </c>
      <c r="K11" s="127">
        <f t="shared" si="1"/>
        <v>7560</v>
      </c>
      <c r="L11" s="127" t="s">
        <v>25</v>
      </c>
      <c r="M11" s="19">
        <f>189156/6</f>
        <v>31526</v>
      </c>
      <c r="N11" s="14">
        <f>0.042*6</f>
        <v>0.252</v>
      </c>
      <c r="O11" s="19">
        <v>7944.552</v>
      </c>
    </row>
    <row r="12" ht="16" customHeight="1" spans="1:15">
      <c r="A12" s="117"/>
      <c r="B12" s="14"/>
      <c r="C12" s="118"/>
      <c r="D12" s="119"/>
      <c r="E12" s="118"/>
      <c r="F12" s="121">
        <v>45476</v>
      </c>
      <c r="G12" s="120">
        <v>1607</v>
      </c>
      <c r="H12" s="120">
        <f t="shared" si="0"/>
        <v>81</v>
      </c>
      <c r="I12" s="118">
        <v>1526</v>
      </c>
      <c r="J12" s="14">
        <f>0.042*6</f>
        <v>0.252</v>
      </c>
      <c r="K12" s="127">
        <f t="shared" si="1"/>
        <v>384.552</v>
      </c>
      <c r="L12" s="129"/>
      <c r="M12" s="19"/>
      <c r="N12" s="19"/>
      <c r="O12" s="19"/>
    </row>
    <row r="13" ht="16" customHeight="1" spans="1:15">
      <c r="A13" s="117"/>
      <c r="B13" s="14"/>
      <c r="C13" s="118"/>
      <c r="D13" s="119"/>
      <c r="E13" s="118"/>
      <c r="F13" s="121">
        <v>45476</v>
      </c>
      <c r="G13" s="120">
        <v>33102</v>
      </c>
      <c r="H13" s="120">
        <f t="shared" si="0"/>
        <v>1576</v>
      </c>
      <c r="I13" s="118">
        <v>31526</v>
      </c>
      <c r="J13" s="19">
        <v>0.294</v>
      </c>
      <c r="K13" s="127">
        <f t="shared" si="1"/>
        <v>9268.644</v>
      </c>
      <c r="L13" s="19" t="s">
        <v>21</v>
      </c>
      <c r="M13" s="19">
        <v>31526</v>
      </c>
      <c r="N13" s="19">
        <v>0.294</v>
      </c>
      <c r="O13" s="19">
        <v>9268.644</v>
      </c>
    </row>
    <row r="14" ht="16" customHeight="1" spans="1:15">
      <c r="A14" s="117"/>
      <c r="B14" s="14"/>
      <c r="C14" s="118"/>
      <c r="D14" s="119"/>
      <c r="E14" s="118"/>
      <c r="F14" s="121">
        <v>45476</v>
      </c>
      <c r="G14" s="120">
        <v>33102</v>
      </c>
      <c r="H14" s="120">
        <f t="shared" si="0"/>
        <v>1576</v>
      </c>
      <c r="I14" s="118">
        <v>31526</v>
      </c>
      <c r="J14" s="19">
        <v>0.116</v>
      </c>
      <c r="K14" s="127">
        <f t="shared" si="1"/>
        <v>3657.016</v>
      </c>
      <c r="L14" s="19" t="s">
        <v>22</v>
      </c>
      <c r="M14" s="19">
        <v>31526</v>
      </c>
      <c r="N14" s="19">
        <v>0.116</v>
      </c>
      <c r="O14" s="19">
        <v>3657.016</v>
      </c>
    </row>
    <row r="15" ht="32" customHeight="1" spans="1:15">
      <c r="A15" s="117">
        <v>45477</v>
      </c>
      <c r="B15" s="14" t="s">
        <v>26</v>
      </c>
      <c r="C15" s="118">
        <v>58394</v>
      </c>
      <c r="D15" s="119" t="s">
        <v>27</v>
      </c>
      <c r="E15" s="118" t="s">
        <v>28</v>
      </c>
      <c r="F15" s="121">
        <v>45484</v>
      </c>
      <c r="G15" s="120">
        <f>I15*1.05</f>
        <v>771.75</v>
      </c>
      <c r="H15" s="120">
        <f t="shared" si="0"/>
        <v>36.75</v>
      </c>
      <c r="I15" s="118">
        <v>735</v>
      </c>
      <c r="J15" s="19">
        <v>0.254</v>
      </c>
      <c r="K15" s="127">
        <f t="shared" si="1"/>
        <v>186.69</v>
      </c>
      <c r="L15" s="19" t="s">
        <v>29</v>
      </c>
      <c r="M15" s="19">
        <v>735</v>
      </c>
      <c r="N15" s="19">
        <v>0.254</v>
      </c>
      <c r="O15" s="19">
        <v>186.69</v>
      </c>
    </row>
    <row r="16" ht="32" customHeight="1" spans="1:15">
      <c r="A16" s="117"/>
      <c r="B16" s="14"/>
      <c r="C16" s="118"/>
      <c r="D16" s="119"/>
      <c r="E16" s="118"/>
      <c r="F16" s="121">
        <v>45484</v>
      </c>
      <c r="G16" s="120">
        <f>I16*1.05</f>
        <v>771.75</v>
      </c>
      <c r="H16" s="120">
        <f t="shared" si="0"/>
        <v>36.75</v>
      </c>
      <c r="I16" s="118">
        <v>735</v>
      </c>
      <c r="J16" s="19">
        <v>0.15</v>
      </c>
      <c r="K16" s="127">
        <f t="shared" si="1"/>
        <v>110.25</v>
      </c>
      <c r="L16" s="19" t="s">
        <v>30</v>
      </c>
      <c r="M16" s="19">
        <v>735</v>
      </c>
      <c r="N16" s="19">
        <v>0.15</v>
      </c>
      <c r="O16" s="19">
        <v>110.25</v>
      </c>
    </row>
    <row r="17" ht="32" customHeight="1" spans="1:15">
      <c r="A17" s="117"/>
      <c r="B17" s="14"/>
      <c r="C17" s="118"/>
      <c r="D17" s="119"/>
      <c r="E17" s="118"/>
      <c r="F17" s="121">
        <v>45484</v>
      </c>
      <c r="G17" s="120">
        <v>2200</v>
      </c>
      <c r="H17" s="120">
        <f t="shared" si="0"/>
        <v>100</v>
      </c>
      <c r="I17" s="118">
        <v>2100</v>
      </c>
      <c r="J17" s="19">
        <v>0.12</v>
      </c>
      <c r="K17" s="127">
        <f t="shared" si="1"/>
        <v>252</v>
      </c>
      <c r="L17" s="127" t="s">
        <v>31</v>
      </c>
      <c r="M17" s="19"/>
      <c r="N17" s="19"/>
      <c r="O17" s="19"/>
    </row>
    <row r="18" ht="32" customHeight="1" spans="1:15">
      <c r="A18" s="117"/>
      <c r="B18" s="14"/>
      <c r="C18" s="118"/>
      <c r="D18" s="119"/>
      <c r="E18" s="118"/>
      <c r="F18" s="121">
        <v>45485</v>
      </c>
      <c r="G18" s="120">
        <v>30500</v>
      </c>
      <c r="H18" s="120">
        <f t="shared" si="0"/>
        <v>8</v>
      </c>
      <c r="I18" s="118">
        <v>30492</v>
      </c>
      <c r="J18" s="19">
        <v>0.12</v>
      </c>
      <c r="K18" s="127">
        <f t="shared" si="1"/>
        <v>3659.04</v>
      </c>
      <c r="L18" s="129"/>
      <c r="M18" s="19">
        <v>32592</v>
      </c>
      <c r="N18" s="19">
        <v>0.12</v>
      </c>
      <c r="O18" s="19">
        <v>3911.04</v>
      </c>
    </row>
    <row r="19" ht="16" customHeight="1" spans="1:15">
      <c r="A19" s="10">
        <v>45477</v>
      </c>
      <c r="B19" s="11" t="s">
        <v>26</v>
      </c>
      <c r="C19" s="12">
        <v>58401</v>
      </c>
      <c r="D19" s="13" t="s">
        <v>32</v>
      </c>
      <c r="E19" s="12" t="s">
        <v>33</v>
      </c>
      <c r="F19" s="122">
        <v>45484</v>
      </c>
      <c r="G19" s="120">
        <v>561</v>
      </c>
      <c r="H19" s="120">
        <f t="shared" si="0"/>
        <v>26</v>
      </c>
      <c r="I19" s="12">
        <v>535</v>
      </c>
      <c r="J19" s="19">
        <v>0.254</v>
      </c>
      <c r="K19" s="127">
        <f t="shared" si="1"/>
        <v>135.89</v>
      </c>
      <c r="L19" s="19" t="s">
        <v>29</v>
      </c>
      <c r="M19" s="19">
        <v>535</v>
      </c>
      <c r="N19" s="19">
        <v>0.254</v>
      </c>
      <c r="O19" s="19">
        <v>135.89</v>
      </c>
    </row>
    <row r="20" ht="16" customHeight="1" spans="1:15">
      <c r="A20" s="15"/>
      <c r="B20" s="16"/>
      <c r="C20" s="17"/>
      <c r="D20" s="18"/>
      <c r="E20" s="17"/>
      <c r="F20" s="122">
        <v>45484</v>
      </c>
      <c r="G20" s="120">
        <v>561</v>
      </c>
      <c r="H20" s="120">
        <f t="shared" si="0"/>
        <v>26</v>
      </c>
      <c r="I20" s="12">
        <v>535</v>
      </c>
      <c r="J20" s="19">
        <v>0.15</v>
      </c>
      <c r="K20" s="127">
        <f t="shared" si="1"/>
        <v>80.25</v>
      </c>
      <c r="L20" s="19" t="s">
        <v>30</v>
      </c>
      <c r="M20" s="19">
        <v>535</v>
      </c>
      <c r="N20" s="19">
        <v>0.15</v>
      </c>
      <c r="O20" s="19">
        <v>80.25</v>
      </c>
    </row>
    <row r="21" ht="16" customHeight="1" spans="1:15">
      <c r="A21" s="117">
        <v>45483</v>
      </c>
      <c r="B21" s="14" t="s">
        <v>26</v>
      </c>
      <c r="C21" s="118" t="s">
        <v>34</v>
      </c>
      <c r="D21" s="119" t="s">
        <v>35</v>
      </c>
      <c r="E21" s="118" t="s">
        <v>36</v>
      </c>
      <c r="F21" s="121">
        <v>45491</v>
      </c>
      <c r="G21" s="120">
        <f t="shared" ref="G21:G32" si="2">I21*1.05</f>
        <v>25213.65</v>
      </c>
      <c r="H21" s="120">
        <f t="shared" si="0"/>
        <v>1200.65</v>
      </c>
      <c r="I21" s="12">
        <v>24013</v>
      </c>
      <c r="J21" s="19">
        <v>0.368</v>
      </c>
      <c r="K21" s="127">
        <f t="shared" si="1"/>
        <v>8836.784</v>
      </c>
      <c r="L21" s="19" t="s">
        <v>37</v>
      </c>
      <c r="M21" s="19">
        <v>24013</v>
      </c>
      <c r="N21" s="19">
        <v>0.368</v>
      </c>
      <c r="O21" s="19">
        <v>8836.784</v>
      </c>
    </row>
    <row r="22" ht="16" customHeight="1" spans="1:15">
      <c r="A22" s="117"/>
      <c r="B22" s="14"/>
      <c r="C22" s="118"/>
      <c r="D22" s="119"/>
      <c r="E22" s="118"/>
      <c r="F22" s="121">
        <v>45491</v>
      </c>
      <c r="G22" s="120">
        <f t="shared" si="2"/>
        <v>25213.65</v>
      </c>
      <c r="H22" s="120">
        <f t="shared" si="0"/>
        <v>1200.65</v>
      </c>
      <c r="I22" s="12">
        <v>24013</v>
      </c>
      <c r="J22" s="14">
        <f>0.042*7</f>
        <v>0.294</v>
      </c>
      <c r="K22" s="127">
        <f t="shared" si="1"/>
        <v>7059.822</v>
      </c>
      <c r="L22" s="19" t="s">
        <v>38</v>
      </c>
      <c r="M22" s="19">
        <f>168091/7</f>
        <v>24013</v>
      </c>
      <c r="N22" s="14">
        <f>0.042*7</f>
        <v>0.294</v>
      </c>
      <c r="O22" s="19">
        <v>7059.822</v>
      </c>
    </row>
    <row r="23" ht="16" customHeight="1" spans="1:15">
      <c r="A23" s="117"/>
      <c r="B23" s="14"/>
      <c r="C23" s="118"/>
      <c r="D23" s="119"/>
      <c r="E23" s="118"/>
      <c r="F23" s="121">
        <v>45491</v>
      </c>
      <c r="G23" s="120">
        <f t="shared" si="2"/>
        <v>25213.65</v>
      </c>
      <c r="H23" s="120">
        <f t="shared" si="0"/>
        <v>1200.65</v>
      </c>
      <c r="I23" s="12">
        <v>24013</v>
      </c>
      <c r="J23" s="19">
        <v>0.294</v>
      </c>
      <c r="K23" s="127">
        <f t="shared" si="1"/>
        <v>7059.822</v>
      </c>
      <c r="L23" s="19" t="s">
        <v>21</v>
      </c>
      <c r="M23" s="19">
        <v>24013</v>
      </c>
      <c r="N23" s="19">
        <v>0.294</v>
      </c>
      <c r="O23" s="19">
        <v>7059.822</v>
      </c>
    </row>
    <row r="24" ht="16" customHeight="1" spans="1:15">
      <c r="A24" s="117"/>
      <c r="B24" s="14"/>
      <c r="C24" s="118"/>
      <c r="D24" s="119"/>
      <c r="E24" s="118"/>
      <c r="F24" s="121">
        <v>45491</v>
      </c>
      <c r="G24" s="120">
        <f t="shared" si="2"/>
        <v>25213.65</v>
      </c>
      <c r="H24" s="120">
        <f t="shared" si="0"/>
        <v>1200.65</v>
      </c>
      <c r="I24" s="12">
        <v>24013</v>
      </c>
      <c r="J24" s="19">
        <v>0.116</v>
      </c>
      <c r="K24" s="127">
        <f t="shared" si="1"/>
        <v>2785.508</v>
      </c>
      <c r="L24" s="19" t="s">
        <v>22</v>
      </c>
      <c r="M24" s="19">
        <v>24013</v>
      </c>
      <c r="N24" s="19">
        <v>0.116</v>
      </c>
      <c r="O24" s="19">
        <v>2785.508</v>
      </c>
    </row>
    <row r="25" ht="16" customHeight="1" spans="1:15">
      <c r="A25" s="117">
        <v>45492</v>
      </c>
      <c r="B25" s="14" t="s">
        <v>39</v>
      </c>
      <c r="C25" s="118" t="s">
        <v>40</v>
      </c>
      <c r="D25" s="119" t="s">
        <v>41</v>
      </c>
      <c r="E25" s="118" t="s">
        <v>42</v>
      </c>
      <c r="F25" s="121">
        <v>45503</v>
      </c>
      <c r="G25" s="120">
        <f t="shared" si="2"/>
        <v>10500</v>
      </c>
      <c r="H25" s="120">
        <f t="shared" si="0"/>
        <v>500</v>
      </c>
      <c r="I25" s="12">
        <v>10000</v>
      </c>
      <c r="J25" s="19">
        <v>0.368</v>
      </c>
      <c r="K25" s="127">
        <f t="shared" si="1"/>
        <v>3680</v>
      </c>
      <c r="L25" s="19" t="s">
        <v>37</v>
      </c>
      <c r="M25" s="19">
        <v>10000</v>
      </c>
      <c r="N25" s="19">
        <v>0.368</v>
      </c>
      <c r="O25" s="19">
        <v>3680</v>
      </c>
    </row>
    <row r="26" ht="16" customHeight="1" spans="1:15">
      <c r="A26" s="117"/>
      <c r="B26" s="14"/>
      <c r="C26" s="118"/>
      <c r="D26" s="119"/>
      <c r="E26" s="118"/>
      <c r="F26" s="121">
        <v>45503</v>
      </c>
      <c r="G26" s="120">
        <f t="shared" si="2"/>
        <v>10500</v>
      </c>
      <c r="H26" s="120">
        <f t="shared" si="0"/>
        <v>500</v>
      </c>
      <c r="I26" s="12">
        <v>10000</v>
      </c>
      <c r="J26" s="14">
        <f>0.042*7</f>
        <v>0.294</v>
      </c>
      <c r="K26" s="127">
        <f t="shared" si="1"/>
        <v>2940</v>
      </c>
      <c r="L26" s="19" t="s">
        <v>38</v>
      </c>
      <c r="M26" s="19">
        <f>70000/7</f>
        <v>10000</v>
      </c>
      <c r="N26" s="14">
        <f>0.042*7</f>
        <v>0.294</v>
      </c>
      <c r="O26" s="19">
        <v>2940</v>
      </c>
    </row>
    <row r="27" ht="16" customHeight="1" spans="1:15">
      <c r="A27" s="117"/>
      <c r="B27" s="14"/>
      <c r="C27" s="118"/>
      <c r="D27" s="119"/>
      <c r="E27" s="118"/>
      <c r="F27" s="121">
        <v>45503</v>
      </c>
      <c r="G27" s="120">
        <f t="shared" si="2"/>
        <v>10500</v>
      </c>
      <c r="H27" s="120">
        <f t="shared" si="0"/>
        <v>500</v>
      </c>
      <c r="I27" s="12">
        <v>10000</v>
      </c>
      <c r="J27" s="12">
        <v>0.294</v>
      </c>
      <c r="K27" s="12">
        <f t="shared" si="1"/>
        <v>2940</v>
      </c>
      <c r="L27" s="12" t="s">
        <v>21</v>
      </c>
      <c r="M27" s="12">
        <v>10000</v>
      </c>
      <c r="N27" s="12">
        <v>0.294</v>
      </c>
      <c r="O27" s="12">
        <v>2940</v>
      </c>
    </row>
    <row r="28" ht="16" customHeight="1" spans="1:15">
      <c r="A28" s="117"/>
      <c r="B28" s="14"/>
      <c r="C28" s="118"/>
      <c r="D28" s="119"/>
      <c r="E28" s="118"/>
      <c r="F28" s="121">
        <v>45503</v>
      </c>
      <c r="G28" s="120">
        <f t="shared" si="2"/>
        <v>10500</v>
      </c>
      <c r="H28" s="120">
        <f t="shared" si="0"/>
        <v>500</v>
      </c>
      <c r="I28" s="12">
        <v>10000</v>
      </c>
      <c r="J28" s="12">
        <v>0.116</v>
      </c>
      <c r="K28" s="12">
        <f t="shared" si="1"/>
        <v>1160</v>
      </c>
      <c r="L28" s="12" t="s">
        <v>22</v>
      </c>
      <c r="M28" s="12">
        <v>10000</v>
      </c>
      <c r="N28" s="12">
        <v>0.116</v>
      </c>
      <c r="O28" s="12">
        <v>1160</v>
      </c>
    </row>
    <row r="29" ht="16" customHeight="1" spans="1:15">
      <c r="A29" s="117">
        <v>45499</v>
      </c>
      <c r="B29" s="14" t="s">
        <v>39</v>
      </c>
      <c r="C29" s="118" t="s">
        <v>43</v>
      </c>
      <c r="D29" s="119" t="s">
        <v>44</v>
      </c>
      <c r="E29" s="118" t="s">
        <v>45</v>
      </c>
      <c r="F29" s="121">
        <v>45503</v>
      </c>
      <c r="G29" s="120">
        <f t="shared" si="2"/>
        <v>9765</v>
      </c>
      <c r="H29" s="120">
        <f t="shared" si="0"/>
        <v>465</v>
      </c>
      <c r="I29" s="12">
        <v>9300</v>
      </c>
      <c r="J29" s="12">
        <v>0.368</v>
      </c>
      <c r="K29" s="12">
        <f t="shared" si="1"/>
        <v>3422.4</v>
      </c>
      <c r="L29" s="12" t="s">
        <v>37</v>
      </c>
      <c r="M29" s="12">
        <v>9300</v>
      </c>
      <c r="N29" s="12">
        <v>0.368</v>
      </c>
      <c r="O29" s="12">
        <v>3422.4</v>
      </c>
    </row>
    <row r="30" ht="16" customHeight="1" spans="1:15">
      <c r="A30" s="117"/>
      <c r="B30" s="14"/>
      <c r="C30" s="118"/>
      <c r="D30" s="119"/>
      <c r="E30" s="118"/>
      <c r="F30" s="121">
        <v>45503</v>
      </c>
      <c r="G30" s="120">
        <f t="shared" si="2"/>
        <v>9765</v>
      </c>
      <c r="H30" s="120">
        <f t="shared" si="0"/>
        <v>465</v>
      </c>
      <c r="I30" s="12">
        <v>9300</v>
      </c>
      <c r="J30" s="12">
        <f>0.042*7</f>
        <v>0.294</v>
      </c>
      <c r="K30" s="12">
        <f t="shared" si="1"/>
        <v>2734.2</v>
      </c>
      <c r="L30" s="12" t="s">
        <v>38</v>
      </c>
      <c r="M30" s="12">
        <f>65100/7</f>
        <v>9300</v>
      </c>
      <c r="N30" s="12">
        <f>0.042*7</f>
        <v>0.294</v>
      </c>
      <c r="O30" s="12">
        <v>2734.2</v>
      </c>
    </row>
    <row r="31" ht="16" customHeight="1" spans="1:15">
      <c r="A31" s="117"/>
      <c r="B31" s="14"/>
      <c r="C31" s="118"/>
      <c r="D31" s="119"/>
      <c r="E31" s="118"/>
      <c r="F31" s="121">
        <v>45506</v>
      </c>
      <c r="G31" s="120">
        <f t="shared" si="2"/>
        <v>9765</v>
      </c>
      <c r="H31" s="120">
        <f t="shared" si="0"/>
        <v>465</v>
      </c>
      <c r="I31" s="12">
        <v>9300</v>
      </c>
      <c r="J31" s="12">
        <v>0.294</v>
      </c>
      <c r="K31" s="12">
        <f t="shared" si="1"/>
        <v>2734.2</v>
      </c>
      <c r="L31" s="12" t="s">
        <v>21</v>
      </c>
      <c r="M31" s="12">
        <v>9300</v>
      </c>
      <c r="N31" s="12">
        <v>0.294</v>
      </c>
      <c r="O31" s="12">
        <v>2734.2</v>
      </c>
    </row>
    <row r="32" ht="16" customHeight="1" spans="1:15">
      <c r="A32" s="117"/>
      <c r="B32" s="14"/>
      <c r="C32" s="118"/>
      <c r="D32" s="119"/>
      <c r="E32" s="118"/>
      <c r="F32" s="121">
        <v>45506</v>
      </c>
      <c r="G32" s="120">
        <f t="shared" si="2"/>
        <v>9765</v>
      </c>
      <c r="H32" s="120">
        <f t="shared" si="0"/>
        <v>465</v>
      </c>
      <c r="I32" s="12">
        <v>9300</v>
      </c>
      <c r="J32" s="12">
        <v>0.116</v>
      </c>
      <c r="K32" s="12">
        <f t="shared" si="1"/>
        <v>1078.8</v>
      </c>
      <c r="L32" s="12" t="s">
        <v>22</v>
      </c>
      <c r="M32" s="12">
        <v>9300</v>
      </c>
      <c r="N32" s="12">
        <v>0.116</v>
      </c>
      <c r="O32" s="12">
        <v>1078.8</v>
      </c>
    </row>
    <row r="33" ht="49.5" spans="1:15">
      <c r="A33" s="123">
        <v>45439</v>
      </c>
      <c r="B33" s="124" t="s">
        <v>15</v>
      </c>
      <c r="C33" s="125">
        <v>54401</v>
      </c>
      <c r="D33" s="126" t="s">
        <v>16</v>
      </c>
      <c r="E33" s="125" t="s">
        <v>17</v>
      </c>
      <c r="F33" s="118" t="s">
        <v>46</v>
      </c>
      <c r="G33" s="12">
        <v>0</v>
      </c>
      <c r="H33" s="12">
        <v>0</v>
      </c>
      <c r="I33" s="12">
        <v>10000</v>
      </c>
      <c r="J33" s="14">
        <v>0.042</v>
      </c>
      <c r="K33" s="127">
        <f t="shared" si="1"/>
        <v>420</v>
      </c>
      <c r="L33" s="19" t="s">
        <v>47</v>
      </c>
      <c r="M33" s="19">
        <v>10000</v>
      </c>
      <c r="N33" s="14">
        <v>0.042</v>
      </c>
      <c r="O33" s="19">
        <v>420</v>
      </c>
    </row>
    <row r="34" ht="49.5" spans="1:15">
      <c r="A34" s="123">
        <v>45439</v>
      </c>
      <c r="B34" s="124" t="s">
        <v>15</v>
      </c>
      <c r="C34" s="125">
        <v>54404</v>
      </c>
      <c r="D34" s="126" t="s">
        <v>23</v>
      </c>
      <c r="E34" s="125" t="s">
        <v>24</v>
      </c>
      <c r="F34" s="118" t="s">
        <v>46</v>
      </c>
      <c r="G34" s="12">
        <v>0</v>
      </c>
      <c r="H34" s="12">
        <v>0</v>
      </c>
      <c r="I34" s="12">
        <v>30000</v>
      </c>
      <c r="J34" s="14">
        <v>0.042</v>
      </c>
      <c r="K34" s="127">
        <f t="shared" si="1"/>
        <v>1260</v>
      </c>
      <c r="L34" s="19" t="s">
        <v>47</v>
      </c>
      <c r="M34" s="19">
        <v>30000</v>
      </c>
      <c r="N34" s="14">
        <v>0.042</v>
      </c>
      <c r="O34" s="19">
        <v>1260</v>
      </c>
    </row>
    <row r="35" ht="66" spans="1:15">
      <c r="A35" s="117">
        <v>45477</v>
      </c>
      <c r="B35" s="14" t="s">
        <v>26</v>
      </c>
      <c r="C35" s="118">
        <v>58401</v>
      </c>
      <c r="D35" s="119" t="s">
        <v>32</v>
      </c>
      <c r="E35" s="118" t="s">
        <v>33</v>
      </c>
      <c r="F35" s="121">
        <v>45484</v>
      </c>
      <c r="G35" s="120">
        <v>32552</v>
      </c>
      <c r="H35" s="120">
        <f>G35-I35</f>
        <v>1550</v>
      </c>
      <c r="I35" s="12">
        <v>31002</v>
      </c>
      <c r="J35" s="19">
        <v>0.1</v>
      </c>
      <c r="K35" s="127">
        <f t="shared" si="1"/>
        <v>3100.2</v>
      </c>
      <c r="L35" s="19" t="s">
        <v>48</v>
      </c>
      <c r="M35" s="19">
        <v>31002</v>
      </c>
      <c r="N35" s="19">
        <v>0.1</v>
      </c>
      <c r="O35" s="19">
        <v>3100.2</v>
      </c>
    </row>
    <row r="36" ht="17.5" spans="1:15">
      <c r="A36" s="20" t="s">
        <v>49</v>
      </c>
      <c r="B36" s="20"/>
      <c r="C36" s="20"/>
      <c r="D36" s="20"/>
      <c r="E36" s="20"/>
      <c r="F36" s="20"/>
      <c r="G36" s="20"/>
      <c r="H36" s="20"/>
      <c r="I36" s="20"/>
      <c r="J36" s="20"/>
      <c r="K36" s="20"/>
      <c r="L36" s="20"/>
      <c r="M36" s="20"/>
      <c r="N36" s="23"/>
      <c r="O36" s="40">
        <f>SUM(O3:O35)</f>
        <v>111532.828</v>
      </c>
    </row>
    <row r="37" ht="17.5" spans="1:15">
      <c r="A37" s="21"/>
      <c r="B37" s="21"/>
      <c r="C37" s="21"/>
      <c r="D37" s="21"/>
      <c r="E37" s="21"/>
      <c r="F37" s="21"/>
      <c r="G37" s="21"/>
      <c r="H37" s="21"/>
      <c r="I37" s="21"/>
      <c r="J37" s="21"/>
      <c r="K37" s="21"/>
      <c r="L37" s="21"/>
      <c r="M37" s="21"/>
      <c r="N37" s="21"/>
      <c r="O37" s="21"/>
    </row>
  </sheetData>
  <autoFilter xmlns:etc="http://www.wps.cn/officeDocument/2017/etCustomData" ref="A2:O36" etc:filterBottomFollowUsedRange="0">
    <extLst/>
  </autoFilter>
  <mergeCells count="41">
    <mergeCell ref="A1:O1"/>
    <mergeCell ref="A3:A8"/>
    <mergeCell ref="A9:A14"/>
    <mergeCell ref="A15:A18"/>
    <mergeCell ref="A19:A20"/>
    <mergeCell ref="A21:A24"/>
    <mergeCell ref="A25:A28"/>
    <mergeCell ref="A29:A32"/>
    <mergeCell ref="B3:B8"/>
    <mergeCell ref="B9:B14"/>
    <mergeCell ref="B15:B18"/>
    <mergeCell ref="B19:B20"/>
    <mergeCell ref="B21:B24"/>
    <mergeCell ref="B25:B28"/>
    <mergeCell ref="B29:B32"/>
    <mergeCell ref="C3:C8"/>
    <mergeCell ref="C9:C14"/>
    <mergeCell ref="C15:C18"/>
    <mergeCell ref="C19:C20"/>
    <mergeCell ref="C21:C24"/>
    <mergeCell ref="C25:C28"/>
    <mergeCell ref="C29:C32"/>
    <mergeCell ref="D3:D8"/>
    <mergeCell ref="D9:D14"/>
    <mergeCell ref="D15:D18"/>
    <mergeCell ref="D19:D20"/>
    <mergeCell ref="D21:D24"/>
    <mergeCell ref="D25:D28"/>
    <mergeCell ref="D29:D32"/>
    <mergeCell ref="E3:E8"/>
    <mergeCell ref="E9:E14"/>
    <mergeCell ref="E15:E18"/>
    <mergeCell ref="E19:E20"/>
    <mergeCell ref="E21:E24"/>
    <mergeCell ref="E25:E28"/>
    <mergeCell ref="E29:E32"/>
    <mergeCell ref="L3:L4"/>
    <mergeCell ref="L5:L6"/>
    <mergeCell ref="L9:L10"/>
    <mergeCell ref="L11:L12"/>
    <mergeCell ref="L17:L18"/>
  </mergeCells>
  <pageMargins left="0.751388888888889" right="0.751388888888889" top="1" bottom="1" header="0.5" footer="0.5"/>
  <pageSetup paperSize="9" scale="71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7"/>
  <sheetViews>
    <sheetView tabSelected="1" topLeftCell="A58" workbookViewId="0">
      <selection activeCell="E83" sqref="E83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4.0909090909091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3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36" t="s">
        <v>54</v>
      </c>
      <c r="G3" s="42" t="s">
        <v>37</v>
      </c>
      <c r="H3" s="42">
        <v>6000</v>
      </c>
      <c r="I3" s="74">
        <v>0.368</v>
      </c>
      <c r="J3" s="42">
        <f t="shared" ref="J3:J64" si="0">H3*I3</f>
        <v>2208</v>
      </c>
    </row>
    <row r="4" s="1" customFormat="1" ht="16.5" spans="1:10">
      <c r="A4" s="55"/>
      <c r="B4" s="36"/>
      <c r="C4" s="28"/>
      <c r="D4" s="56"/>
      <c r="E4" s="28"/>
      <c r="F4" s="36"/>
      <c r="G4" s="42" t="s">
        <v>38</v>
      </c>
      <c r="H4" s="42">
        <f>42000/7</f>
        <v>6000</v>
      </c>
      <c r="I4" s="75">
        <f>0.042*7</f>
        <v>0.294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36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36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1">
      <c r="A7" s="60">
        <v>45679</v>
      </c>
      <c r="B7" s="36" t="s">
        <v>39</v>
      </c>
      <c r="C7" s="28" t="s">
        <v>43</v>
      </c>
      <c r="D7" s="29" t="s">
        <v>55</v>
      </c>
      <c r="E7" s="35" t="s">
        <v>43</v>
      </c>
      <c r="F7" s="28" t="s">
        <v>56</v>
      </c>
      <c r="G7" s="31" t="s">
        <v>57</v>
      </c>
      <c r="H7" s="31">
        <v>2000</v>
      </c>
      <c r="I7" s="31">
        <v>0.05</v>
      </c>
      <c r="J7" s="42">
        <f t="shared" si="0"/>
        <v>100</v>
      </c>
      <c r="K7" s="40"/>
    </row>
    <row r="8" ht="16.5" spans="1:10">
      <c r="A8" s="97">
        <v>45832</v>
      </c>
      <c r="B8" s="97" t="s">
        <v>39</v>
      </c>
      <c r="C8" s="98" t="s">
        <v>58</v>
      </c>
      <c r="D8" s="99" t="s">
        <v>59</v>
      </c>
      <c r="E8" s="97" t="s">
        <v>60</v>
      </c>
      <c r="F8" s="100" t="s">
        <v>61</v>
      </c>
      <c r="G8" s="101" t="s">
        <v>21</v>
      </c>
      <c r="H8" s="101">
        <v>6013</v>
      </c>
      <c r="I8" s="101">
        <v>0.24</v>
      </c>
      <c r="J8" s="104">
        <f t="shared" si="0"/>
        <v>1443.12</v>
      </c>
    </row>
    <row r="9" ht="16.5" spans="1:10">
      <c r="A9" s="97"/>
      <c r="B9" s="97"/>
      <c r="C9" s="98"/>
      <c r="D9" s="99"/>
      <c r="E9" s="97"/>
      <c r="F9" s="102"/>
      <c r="G9" s="101" t="s">
        <v>62</v>
      </c>
      <c r="H9" s="101">
        <v>6013</v>
      </c>
      <c r="I9" s="101">
        <v>0.11</v>
      </c>
      <c r="J9" s="104">
        <f t="shared" si="0"/>
        <v>661.43</v>
      </c>
    </row>
    <row r="10" ht="16.5" spans="1:10">
      <c r="A10" s="97"/>
      <c r="B10" s="97"/>
      <c r="C10" s="98"/>
      <c r="D10" s="99"/>
      <c r="E10" s="97"/>
      <c r="F10" s="100" t="s">
        <v>63</v>
      </c>
      <c r="G10" s="101" t="s">
        <v>64</v>
      </c>
      <c r="H10" s="101">
        <v>6013</v>
      </c>
      <c r="I10" s="101">
        <f>0.042*5</f>
        <v>0.21</v>
      </c>
      <c r="J10" s="104">
        <f t="shared" si="0"/>
        <v>1262.73</v>
      </c>
    </row>
    <row r="11" ht="16.5" spans="1:10">
      <c r="A11" s="97"/>
      <c r="B11" s="97"/>
      <c r="C11" s="98"/>
      <c r="D11" s="99"/>
      <c r="E11" s="97"/>
      <c r="F11" s="103"/>
      <c r="G11" s="101" t="s">
        <v>65</v>
      </c>
      <c r="H11" s="101">
        <v>6013</v>
      </c>
      <c r="I11" s="111">
        <v>0.027</v>
      </c>
      <c r="J11" s="104">
        <f t="shared" si="0"/>
        <v>162.351</v>
      </c>
    </row>
    <row r="12" ht="16.5" spans="1:10">
      <c r="A12" s="97"/>
      <c r="B12" s="97"/>
      <c r="C12" s="98"/>
      <c r="D12" s="99"/>
      <c r="E12" s="97"/>
      <c r="F12" s="97" t="s">
        <v>66</v>
      </c>
      <c r="G12" s="104" t="s">
        <v>67</v>
      </c>
      <c r="H12" s="101">
        <v>6013</v>
      </c>
      <c r="I12" s="101">
        <v>0.13</v>
      </c>
      <c r="J12" s="104">
        <f t="shared" si="0"/>
        <v>781.69</v>
      </c>
    </row>
    <row r="13" ht="16.5" spans="1:10">
      <c r="A13" s="97"/>
      <c r="B13" s="97"/>
      <c r="C13" s="98"/>
      <c r="D13" s="99"/>
      <c r="E13" s="97"/>
      <c r="F13" s="103" t="s">
        <v>68</v>
      </c>
      <c r="G13" s="104" t="s">
        <v>69</v>
      </c>
      <c r="H13" s="101">
        <v>6013</v>
      </c>
      <c r="I13" s="101">
        <v>0.12</v>
      </c>
      <c r="J13" s="104">
        <f t="shared" si="0"/>
        <v>721.56</v>
      </c>
    </row>
    <row r="14" ht="16.5" spans="1:10">
      <c r="A14" s="97"/>
      <c r="B14" s="97"/>
      <c r="C14" s="98"/>
      <c r="D14" s="99"/>
      <c r="E14" s="97"/>
      <c r="F14" s="103" t="s">
        <v>70</v>
      </c>
      <c r="G14" s="101" t="s">
        <v>71</v>
      </c>
      <c r="H14" s="101">
        <v>3000</v>
      </c>
      <c r="I14" s="111">
        <v>0.63</v>
      </c>
      <c r="J14" s="104">
        <f t="shared" si="0"/>
        <v>1890</v>
      </c>
    </row>
    <row r="15" ht="16.5" spans="1:11">
      <c r="A15" s="27">
        <v>45841</v>
      </c>
      <c r="B15" s="27" t="s">
        <v>39</v>
      </c>
      <c r="C15" s="27" t="s">
        <v>72</v>
      </c>
      <c r="D15" s="83" t="s">
        <v>73</v>
      </c>
      <c r="E15" s="27" t="s">
        <v>74</v>
      </c>
      <c r="F15" s="85" t="s">
        <v>75</v>
      </c>
      <c r="G15" s="36" t="s">
        <v>76</v>
      </c>
      <c r="H15" s="36">
        <v>5150</v>
      </c>
      <c r="I15" s="65">
        <v>1.07</v>
      </c>
      <c r="J15" s="42">
        <f t="shared" si="0"/>
        <v>5510.5</v>
      </c>
      <c r="K15" s="25"/>
    </row>
    <row r="16" ht="16.5" spans="1:11">
      <c r="A16" s="27"/>
      <c r="B16" s="27"/>
      <c r="C16" s="27"/>
      <c r="D16" s="83"/>
      <c r="E16" s="27"/>
      <c r="F16" s="86"/>
      <c r="G16" s="36" t="s">
        <v>77</v>
      </c>
      <c r="H16" s="36">
        <v>52</v>
      </c>
      <c r="I16" s="65">
        <v>0</v>
      </c>
      <c r="J16" s="42">
        <f t="shared" si="0"/>
        <v>0</v>
      </c>
      <c r="K16" s="25"/>
    </row>
    <row r="17" ht="16.5" spans="1:11">
      <c r="A17" s="27"/>
      <c r="B17" s="27"/>
      <c r="C17" s="27"/>
      <c r="D17" s="83"/>
      <c r="E17" s="27"/>
      <c r="F17" s="85" t="s">
        <v>75</v>
      </c>
      <c r="G17" s="36" t="s">
        <v>64</v>
      </c>
      <c r="H17" s="36">
        <f>5000</f>
        <v>5000</v>
      </c>
      <c r="I17" s="36">
        <f>0.042*5</f>
        <v>0.21</v>
      </c>
      <c r="J17" s="42">
        <f t="shared" si="0"/>
        <v>1050</v>
      </c>
      <c r="K17" s="25"/>
    </row>
    <row r="18" ht="16.5" spans="1:11">
      <c r="A18" s="27"/>
      <c r="B18" s="27"/>
      <c r="C18" s="27"/>
      <c r="D18" s="83"/>
      <c r="E18" s="27"/>
      <c r="F18" s="85" t="s">
        <v>75</v>
      </c>
      <c r="G18" s="36" t="s">
        <v>62</v>
      </c>
      <c r="H18" s="36">
        <v>5000</v>
      </c>
      <c r="I18" s="36">
        <v>0.11</v>
      </c>
      <c r="J18" s="42">
        <f t="shared" si="0"/>
        <v>550</v>
      </c>
      <c r="K18" s="25"/>
    </row>
    <row r="19" ht="16.5" spans="1:11">
      <c r="A19" s="27">
        <v>45842</v>
      </c>
      <c r="B19" s="28" t="s">
        <v>39</v>
      </c>
      <c r="C19" s="28" t="s">
        <v>78</v>
      </c>
      <c r="D19" s="70" t="s">
        <v>79</v>
      </c>
      <c r="E19" s="28" t="s">
        <v>80</v>
      </c>
      <c r="F19" s="85" t="s">
        <v>75</v>
      </c>
      <c r="G19" s="42" t="s">
        <v>76</v>
      </c>
      <c r="H19" s="105">
        <v>18334</v>
      </c>
      <c r="I19" s="65">
        <v>1.07</v>
      </c>
      <c r="J19" s="42">
        <f t="shared" si="0"/>
        <v>19617.38</v>
      </c>
      <c r="K19" s="1"/>
    </row>
    <row r="20" ht="16.5" spans="1:11">
      <c r="A20" s="27"/>
      <c r="B20" s="28"/>
      <c r="C20" s="28"/>
      <c r="D20" s="70"/>
      <c r="E20" s="28"/>
      <c r="F20" s="86"/>
      <c r="G20" s="42" t="s">
        <v>77</v>
      </c>
      <c r="H20" s="65">
        <v>183</v>
      </c>
      <c r="I20" s="65">
        <v>0</v>
      </c>
      <c r="J20" s="42">
        <f t="shared" si="0"/>
        <v>0</v>
      </c>
      <c r="K20" s="1"/>
    </row>
    <row r="21" ht="16.5" spans="1:11">
      <c r="A21" s="27"/>
      <c r="B21" s="28"/>
      <c r="C21" s="28"/>
      <c r="D21" s="70"/>
      <c r="E21" s="28"/>
      <c r="F21" s="85" t="s">
        <v>75</v>
      </c>
      <c r="G21" s="36" t="s">
        <v>22</v>
      </c>
      <c r="H21" s="36">
        <v>17800</v>
      </c>
      <c r="I21" s="36">
        <v>0.11</v>
      </c>
      <c r="J21" s="42">
        <f t="shared" si="0"/>
        <v>1958</v>
      </c>
      <c r="K21" s="1"/>
    </row>
    <row r="22" ht="16.5" spans="1:11">
      <c r="A22" s="27"/>
      <c r="B22" s="28"/>
      <c r="C22" s="28"/>
      <c r="D22" s="70"/>
      <c r="E22" s="28"/>
      <c r="F22" s="86"/>
      <c r="G22" s="36" t="s">
        <v>64</v>
      </c>
      <c r="H22" s="36">
        <f>17800</f>
        <v>17800</v>
      </c>
      <c r="I22" s="36">
        <f>0.042*5</f>
        <v>0.21</v>
      </c>
      <c r="J22" s="42">
        <f t="shared" si="0"/>
        <v>3738</v>
      </c>
      <c r="K22" s="1"/>
    </row>
    <row r="23" ht="16.5" spans="1:10">
      <c r="A23" s="27">
        <v>45849</v>
      </c>
      <c r="B23" s="27" t="s">
        <v>39</v>
      </c>
      <c r="C23" s="106">
        <v>85358</v>
      </c>
      <c r="D23" s="83" t="s">
        <v>81</v>
      </c>
      <c r="E23" s="27" t="s">
        <v>82</v>
      </c>
      <c r="F23" s="27" t="s">
        <v>75</v>
      </c>
      <c r="G23" s="36" t="s">
        <v>83</v>
      </c>
      <c r="H23" s="36">
        <f>2000*1.03</f>
        <v>2060</v>
      </c>
      <c r="I23" s="108">
        <v>1.07</v>
      </c>
      <c r="J23" s="42">
        <f t="shared" si="0"/>
        <v>2204.2</v>
      </c>
    </row>
    <row r="24" ht="16.5" spans="1:10">
      <c r="A24" s="27"/>
      <c r="B24" s="27"/>
      <c r="C24" s="84"/>
      <c r="D24" s="83"/>
      <c r="E24" s="27"/>
      <c r="F24" s="27"/>
      <c r="G24" s="36" t="s">
        <v>77</v>
      </c>
      <c r="H24" s="36">
        <f>2000*0.01</f>
        <v>20</v>
      </c>
      <c r="I24" s="108">
        <v>0</v>
      </c>
      <c r="J24" s="42">
        <f t="shared" si="0"/>
        <v>0</v>
      </c>
    </row>
    <row r="25" ht="16.5" spans="1:10">
      <c r="A25" s="27"/>
      <c r="B25" s="27"/>
      <c r="C25" s="84"/>
      <c r="D25" s="83"/>
      <c r="E25" s="27"/>
      <c r="F25" s="86" t="s">
        <v>84</v>
      </c>
      <c r="G25" s="36" t="s">
        <v>64</v>
      </c>
      <c r="H25" s="36">
        <f>2000</f>
        <v>2000</v>
      </c>
      <c r="I25" s="94">
        <f>0.042*5</f>
        <v>0.21</v>
      </c>
      <c r="J25" s="42">
        <f t="shared" si="0"/>
        <v>420</v>
      </c>
    </row>
    <row r="26" ht="16.5" spans="1:10">
      <c r="A26" s="27"/>
      <c r="B26" s="27"/>
      <c r="C26" s="84"/>
      <c r="D26" s="83"/>
      <c r="E26" s="27"/>
      <c r="F26" s="86"/>
      <c r="G26" s="36" t="s">
        <v>62</v>
      </c>
      <c r="H26" s="36">
        <v>2000</v>
      </c>
      <c r="I26" s="94">
        <v>0.11</v>
      </c>
      <c r="J26" s="42">
        <f t="shared" si="0"/>
        <v>220</v>
      </c>
    </row>
    <row r="27" ht="16.5" spans="1:10">
      <c r="A27" s="27">
        <v>45849</v>
      </c>
      <c r="B27" s="28" t="s">
        <v>39</v>
      </c>
      <c r="C27" s="28">
        <v>85359</v>
      </c>
      <c r="D27" s="70" t="s">
        <v>85</v>
      </c>
      <c r="E27" s="28" t="s">
        <v>86</v>
      </c>
      <c r="F27" s="27" t="s">
        <v>75</v>
      </c>
      <c r="G27" s="36" t="s">
        <v>76</v>
      </c>
      <c r="H27" s="36">
        <f>1000*1.03</f>
        <v>1030</v>
      </c>
      <c r="I27" s="94">
        <v>1.07</v>
      </c>
      <c r="J27" s="42">
        <f t="shared" si="0"/>
        <v>1102.1</v>
      </c>
    </row>
    <row r="28" ht="16.5" spans="1:10">
      <c r="A28" s="27"/>
      <c r="B28" s="27"/>
      <c r="C28" s="84"/>
      <c r="D28" s="83"/>
      <c r="E28" s="27"/>
      <c r="F28" s="27"/>
      <c r="G28" s="36" t="s">
        <v>77</v>
      </c>
      <c r="H28" s="36">
        <f>1000*0.01</f>
        <v>10</v>
      </c>
      <c r="I28" s="94">
        <v>0</v>
      </c>
      <c r="J28" s="42">
        <f t="shared" si="0"/>
        <v>0</v>
      </c>
    </row>
    <row r="29" ht="16.5" spans="1:10">
      <c r="A29" s="27"/>
      <c r="B29" s="27"/>
      <c r="C29" s="84"/>
      <c r="D29" s="83"/>
      <c r="E29" s="27"/>
      <c r="F29" s="27" t="s">
        <v>84</v>
      </c>
      <c r="G29" s="36" t="s">
        <v>64</v>
      </c>
      <c r="H29" s="36">
        <f>1000</f>
        <v>1000</v>
      </c>
      <c r="I29" s="94">
        <f>0.042*5</f>
        <v>0.21</v>
      </c>
      <c r="J29" s="42">
        <f t="shared" si="0"/>
        <v>210</v>
      </c>
    </row>
    <row r="30" ht="16.5" spans="1:10">
      <c r="A30" s="27"/>
      <c r="B30" s="28"/>
      <c r="C30" s="28"/>
      <c r="D30" s="70"/>
      <c r="E30" s="28"/>
      <c r="F30" s="27"/>
      <c r="G30" s="36" t="s">
        <v>62</v>
      </c>
      <c r="H30" s="36">
        <f>1000</f>
        <v>1000</v>
      </c>
      <c r="I30" s="94">
        <v>0.11</v>
      </c>
      <c r="J30" s="42">
        <f t="shared" si="0"/>
        <v>110</v>
      </c>
    </row>
    <row r="31" ht="16.5" spans="1:10">
      <c r="A31" s="27">
        <v>45866</v>
      </c>
      <c r="B31" s="106" t="s">
        <v>39</v>
      </c>
      <c r="C31" s="106" t="s">
        <v>87</v>
      </c>
      <c r="D31" s="107" t="s">
        <v>88</v>
      </c>
      <c r="E31" s="106" t="s">
        <v>89</v>
      </c>
      <c r="F31" s="85" t="s">
        <v>90</v>
      </c>
      <c r="G31" s="93" t="s">
        <v>91</v>
      </c>
      <c r="H31" s="108">
        <v>19026</v>
      </c>
      <c r="I31" s="108">
        <v>0.24</v>
      </c>
      <c r="J31" s="42">
        <f t="shared" si="0"/>
        <v>4566.24</v>
      </c>
    </row>
    <row r="32" ht="16.5" spans="1:10">
      <c r="A32" s="27"/>
      <c r="B32" s="106"/>
      <c r="C32" s="106"/>
      <c r="D32" s="107"/>
      <c r="E32" s="106"/>
      <c r="F32" s="86"/>
      <c r="G32" s="93" t="s">
        <v>62</v>
      </c>
      <c r="H32" s="108">
        <v>19026</v>
      </c>
      <c r="I32" s="108">
        <v>0.11</v>
      </c>
      <c r="J32" s="42">
        <f t="shared" si="0"/>
        <v>2092.86</v>
      </c>
    </row>
    <row r="33" ht="16.5" spans="1:10">
      <c r="A33" s="27"/>
      <c r="B33" s="106"/>
      <c r="C33" s="106"/>
      <c r="D33" s="107"/>
      <c r="E33" s="106"/>
      <c r="F33" s="27" t="s">
        <v>92</v>
      </c>
      <c r="G33" s="93" t="s">
        <v>93</v>
      </c>
      <c r="H33" s="109">
        <v>19597</v>
      </c>
      <c r="I33" s="93">
        <v>1.07</v>
      </c>
      <c r="J33" s="42">
        <f t="shared" si="0"/>
        <v>20968.79</v>
      </c>
    </row>
    <row r="34" ht="16.5" spans="1:10">
      <c r="A34" s="27"/>
      <c r="B34" s="106"/>
      <c r="C34" s="106"/>
      <c r="D34" s="107"/>
      <c r="E34" s="106"/>
      <c r="F34" s="27"/>
      <c r="G34" s="93" t="s">
        <v>94</v>
      </c>
      <c r="H34" s="93">
        <v>190</v>
      </c>
      <c r="I34" s="93">
        <v>0</v>
      </c>
      <c r="J34" s="42">
        <f t="shared" si="0"/>
        <v>0</v>
      </c>
    </row>
    <row r="35" ht="16.5" spans="1:10">
      <c r="A35" s="27"/>
      <c r="B35" s="106"/>
      <c r="C35" s="106"/>
      <c r="D35" s="107"/>
      <c r="E35" s="106"/>
      <c r="F35" s="27"/>
      <c r="G35" s="93" t="s">
        <v>95</v>
      </c>
      <c r="H35" s="93">
        <v>55</v>
      </c>
      <c r="I35" s="93">
        <v>0</v>
      </c>
      <c r="J35" s="42">
        <f t="shared" si="0"/>
        <v>0</v>
      </c>
    </row>
    <row r="36" ht="16.5" spans="1:10">
      <c r="A36" s="27"/>
      <c r="B36" s="106"/>
      <c r="C36" s="106"/>
      <c r="D36" s="107"/>
      <c r="E36" s="106"/>
      <c r="F36" s="27" t="s">
        <v>84</v>
      </c>
      <c r="G36" s="94" t="s">
        <v>64</v>
      </c>
      <c r="H36" s="94">
        <f>H32</f>
        <v>19026</v>
      </c>
      <c r="I36" s="94">
        <f>0.042*5</f>
        <v>0.21</v>
      </c>
      <c r="J36" s="42">
        <f t="shared" si="0"/>
        <v>3995.46</v>
      </c>
    </row>
    <row r="37" ht="16.5" spans="1:10">
      <c r="A37" s="27">
        <v>45867</v>
      </c>
      <c r="B37" s="106" t="s">
        <v>39</v>
      </c>
      <c r="C37" s="106" t="s">
        <v>96</v>
      </c>
      <c r="D37" s="107" t="s">
        <v>97</v>
      </c>
      <c r="E37" s="106" t="s">
        <v>98</v>
      </c>
      <c r="F37" s="85" t="s">
        <v>90</v>
      </c>
      <c r="G37" s="93" t="s">
        <v>76</v>
      </c>
      <c r="H37" s="94">
        <v>6490</v>
      </c>
      <c r="I37" s="94">
        <v>1.07</v>
      </c>
      <c r="J37" s="42">
        <f t="shared" si="0"/>
        <v>6944.3</v>
      </c>
    </row>
    <row r="38" ht="16.5" spans="1:10">
      <c r="A38" s="27"/>
      <c r="B38" s="106"/>
      <c r="C38" s="106"/>
      <c r="D38" s="107"/>
      <c r="E38" s="106"/>
      <c r="F38" s="86"/>
      <c r="G38" s="93" t="s">
        <v>77</v>
      </c>
      <c r="H38" s="94">
        <v>65</v>
      </c>
      <c r="I38" s="94">
        <v>0</v>
      </c>
      <c r="J38" s="42">
        <f t="shared" si="0"/>
        <v>0</v>
      </c>
    </row>
    <row r="39" ht="16.5" spans="1:10">
      <c r="A39" s="27"/>
      <c r="B39" s="106"/>
      <c r="C39" s="106"/>
      <c r="D39" s="107"/>
      <c r="E39" s="106"/>
      <c r="F39" s="86"/>
      <c r="G39" s="94" t="s">
        <v>22</v>
      </c>
      <c r="H39" s="94">
        <v>6300</v>
      </c>
      <c r="I39" s="94">
        <v>0.11</v>
      </c>
      <c r="J39" s="42">
        <f t="shared" si="0"/>
        <v>693</v>
      </c>
    </row>
    <row r="40" ht="16.5" spans="1:10">
      <c r="A40" s="27"/>
      <c r="B40" s="106"/>
      <c r="C40" s="106"/>
      <c r="D40" s="107"/>
      <c r="E40" s="106"/>
      <c r="F40" s="86"/>
      <c r="G40" s="94" t="s">
        <v>64</v>
      </c>
      <c r="H40" s="94">
        <f>6300</f>
        <v>6300</v>
      </c>
      <c r="I40" s="94">
        <f>0.042*5</f>
        <v>0.21</v>
      </c>
      <c r="J40" s="42">
        <f t="shared" si="0"/>
        <v>1323</v>
      </c>
    </row>
    <row r="41" ht="16.5" spans="1:10">
      <c r="A41" s="27"/>
      <c r="B41" s="106"/>
      <c r="C41" s="106"/>
      <c r="D41" s="107"/>
      <c r="E41" s="106"/>
      <c r="F41" s="86"/>
      <c r="G41" s="93" t="s">
        <v>91</v>
      </c>
      <c r="H41" s="94">
        <v>17000</v>
      </c>
      <c r="I41" s="94">
        <v>0.24</v>
      </c>
      <c r="J41" s="42">
        <f t="shared" si="0"/>
        <v>4080</v>
      </c>
    </row>
    <row r="42" ht="16.5" spans="1:10">
      <c r="A42" s="27"/>
      <c r="B42" s="106"/>
      <c r="C42" s="106"/>
      <c r="D42" s="107"/>
      <c r="E42" s="106"/>
      <c r="F42" s="86"/>
      <c r="G42" s="93" t="s">
        <v>83</v>
      </c>
      <c r="H42" s="94">
        <v>6489</v>
      </c>
      <c r="I42" s="94">
        <v>1.07</v>
      </c>
      <c r="J42" s="42">
        <f t="shared" si="0"/>
        <v>6943.23</v>
      </c>
    </row>
    <row r="43" ht="16.5" spans="1:10">
      <c r="A43" s="27"/>
      <c r="B43" s="106"/>
      <c r="C43" s="106"/>
      <c r="D43" s="107"/>
      <c r="E43" s="106"/>
      <c r="F43" s="86"/>
      <c r="G43" s="93" t="s">
        <v>77</v>
      </c>
      <c r="H43" s="94">
        <v>63</v>
      </c>
      <c r="I43" s="94">
        <v>0</v>
      </c>
      <c r="J43" s="42">
        <f t="shared" si="0"/>
        <v>0</v>
      </c>
    </row>
    <row r="44" ht="16.5" spans="1:10">
      <c r="A44" s="27"/>
      <c r="B44" s="106"/>
      <c r="C44" s="106"/>
      <c r="D44" s="107"/>
      <c r="E44" s="106"/>
      <c r="F44" s="86"/>
      <c r="G44" s="94" t="s">
        <v>22</v>
      </c>
      <c r="H44" s="94">
        <v>6300</v>
      </c>
      <c r="I44" s="94">
        <v>0.11</v>
      </c>
      <c r="J44" s="42">
        <f t="shared" si="0"/>
        <v>693</v>
      </c>
    </row>
    <row r="45" ht="16.5" spans="1:10">
      <c r="A45" s="27"/>
      <c r="B45" s="106"/>
      <c r="C45" s="106"/>
      <c r="D45" s="107"/>
      <c r="E45" s="106"/>
      <c r="F45" s="110"/>
      <c r="G45" s="94" t="s">
        <v>64</v>
      </c>
      <c r="H45" s="94">
        <f>6300</f>
        <v>6300</v>
      </c>
      <c r="I45" s="94">
        <f>0.042*5</f>
        <v>0.21</v>
      </c>
      <c r="J45" s="42">
        <f t="shared" si="0"/>
        <v>1323</v>
      </c>
    </row>
    <row r="46" ht="16.5" spans="1:10">
      <c r="A46" s="27">
        <v>45849</v>
      </c>
      <c r="B46" s="27" t="s">
        <v>39</v>
      </c>
      <c r="C46" s="84"/>
      <c r="D46" s="83" t="s">
        <v>99</v>
      </c>
      <c r="E46" s="27" t="s">
        <v>100</v>
      </c>
      <c r="F46" s="85" t="s">
        <v>84</v>
      </c>
      <c r="G46" s="36" t="s">
        <v>83</v>
      </c>
      <c r="H46" s="36">
        <v>1062</v>
      </c>
      <c r="I46" s="108">
        <v>1.07</v>
      </c>
      <c r="J46" s="42">
        <f t="shared" si="0"/>
        <v>1136.34</v>
      </c>
    </row>
    <row r="47" ht="16.5" spans="1:10">
      <c r="A47" s="27"/>
      <c r="B47" s="27"/>
      <c r="C47" s="84"/>
      <c r="D47" s="83"/>
      <c r="E47" s="27"/>
      <c r="F47" s="86"/>
      <c r="G47" s="36" t="s">
        <v>77</v>
      </c>
      <c r="H47" s="36">
        <v>11</v>
      </c>
      <c r="I47" s="108">
        <v>0</v>
      </c>
      <c r="J47" s="42">
        <f t="shared" si="0"/>
        <v>0</v>
      </c>
    </row>
    <row r="48" ht="16.5" spans="1:10">
      <c r="A48" s="27">
        <v>45870</v>
      </c>
      <c r="B48" s="27" t="s">
        <v>39</v>
      </c>
      <c r="C48" s="106">
        <v>86578</v>
      </c>
      <c r="D48" s="83" t="s">
        <v>101</v>
      </c>
      <c r="E48" s="27" t="s">
        <v>102</v>
      </c>
      <c r="F48" s="85" t="s">
        <v>90</v>
      </c>
      <c r="G48" s="36" t="s">
        <v>76</v>
      </c>
      <c r="H48" s="36">
        <v>3264</v>
      </c>
      <c r="I48" s="108">
        <v>1.07</v>
      </c>
      <c r="J48" s="42">
        <f t="shared" si="0"/>
        <v>3492.48</v>
      </c>
    </row>
    <row r="49" ht="16.5" spans="1:10">
      <c r="A49" s="27"/>
      <c r="B49" s="27"/>
      <c r="C49" s="84"/>
      <c r="D49" s="83"/>
      <c r="E49" s="27"/>
      <c r="F49" s="86"/>
      <c r="G49" s="36" t="s">
        <v>77</v>
      </c>
      <c r="H49" s="36">
        <v>33</v>
      </c>
      <c r="I49" s="108">
        <v>0</v>
      </c>
      <c r="J49" s="42">
        <f t="shared" si="0"/>
        <v>0</v>
      </c>
    </row>
    <row r="50" ht="16.5" spans="1:10">
      <c r="A50" s="27"/>
      <c r="B50" s="27"/>
      <c r="C50" s="84"/>
      <c r="D50" s="83"/>
      <c r="E50" s="27"/>
      <c r="F50" s="86"/>
      <c r="G50" s="36" t="s">
        <v>103</v>
      </c>
      <c r="H50" s="36">
        <v>30</v>
      </c>
      <c r="I50" s="108">
        <v>0</v>
      </c>
      <c r="J50" s="42">
        <f t="shared" si="0"/>
        <v>0</v>
      </c>
    </row>
    <row r="51" ht="16.5" spans="1:10">
      <c r="A51" s="27"/>
      <c r="B51" s="27"/>
      <c r="C51" s="84"/>
      <c r="D51" s="83"/>
      <c r="E51" s="27"/>
      <c r="F51" s="86"/>
      <c r="G51" s="36" t="s">
        <v>22</v>
      </c>
      <c r="H51" s="36">
        <v>3000</v>
      </c>
      <c r="I51" s="94">
        <v>0.11</v>
      </c>
      <c r="J51" s="42">
        <f t="shared" si="0"/>
        <v>330</v>
      </c>
    </row>
    <row r="52" ht="16.5" spans="1:10">
      <c r="A52" s="27"/>
      <c r="B52" s="27"/>
      <c r="C52" s="84"/>
      <c r="D52" s="83"/>
      <c r="E52" s="27"/>
      <c r="F52" s="110"/>
      <c r="G52" s="36" t="s">
        <v>64</v>
      </c>
      <c r="H52" s="36">
        <v>3000</v>
      </c>
      <c r="I52" s="94">
        <f>0.042*5</f>
        <v>0.21</v>
      </c>
      <c r="J52" s="42">
        <f t="shared" si="0"/>
        <v>630</v>
      </c>
    </row>
    <row r="53" ht="16.5" spans="1:10">
      <c r="A53" s="27">
        <v>45876</v>
      </c>
      <c r="B53" s="28" t="s">
        <v>39</v>
      </c>
      <c r="C53" s="28">
        <v>40061</v>
      </c>
      <c r="D53" s="70" t="s">
        <v>104</v>
      </c>
      <c r="E53" s="28" t="s">
        <v>105</v>
      </c>
      <c r="F53" s="27" t="s">
        <v>106</v>
      </c>
      <c r="G53" s="42" t="s">
        <v>93</v>
      </c>
      <c r="H53" s="42">
        <v>6180</v>
      </c>
      <c r="I53" s="93">
        <v>1.07</v>
      </c>
      <c r="J53" s="42">
        <f t="shared" si="0"/>
        <v>6612.6</v>
      </c>
    </row>
    <row r="54" ht="16.5" spans="1:10">
      <c r="A54" s="27"/>
      <c r="B54" s="28"/>
      <c r="C54" s="28"/>
      <c r="D54" s="70"/>
      <c r="E54" s="28"/>
      <c r="F54" s="27"/>
      <c r="G54" s="42" t="s">
        <v>94</v>
      </c>
      <c r="H54" s="42">
        <v>60</v>
      </c>
      <c r="I54" s="93">
        <v>0</v>
      </c>
      <c r="J54" s="42">
        <f t="shared" si="0"/>
        <v>0</v>
      </c>
    </row>
    <row r="55" ht="16.5" spans="1:10">
      <c r="A55" s="27"/>
      <c r="B55" s="28"/>
      <c r="C55" s="28"/>
      <c r="D55" s="70"/>
      <c r="E55" s="28"/>
      <c r="F55" s="27"/>
      <c r="G55" s="42" t="s">
        <v>95</v>
      </c>
      <c r="H55" s="42">
        <v>30</v>
      </c>
      <c r="I55" s="93">
        <v>0</v>
      </c>
      <c r="J55" s="42">
        <f t="shared" si="0"/>
        <v>0</v>
      </c>
    </row>
    <row r="56" ht="16.5" spans="1:10">
      <c r="A56" s="27"/>
      <c r="B56" s="28"/>
      <c r="C56" s="28"/>
      <c r="D56" s="70"/>
      <c r="E56" s="28"/>
      <c r="F56" s="27"/>
      <c r="G56" s="36" t="s">
        <v>64</v>
      </c>
      <c r="H56" s="36">
        <v>6000</v>
      </c>
      <c r="I56" s="94">
        <f>0.042*5</f>
        <v>0.21</v>
      </c>
      <c r="J56" s="42">
        <f t="shared" si="0"/>
        <v>1260</v>
      </c>
    </row>
    <row r="57" ht="16.5" spans="1:10">
      <c r="A57" s="27"/>
      <c r="B57" s="28"/>
      <c r="C57" s="28"/>
      <c r="D57" s="70"/>
      <c r="E57" s="28"/>
      <c r="F57" s="27"/>
      <c r="G57" s="42" t="s">
        <v>62</v>
      </c>
      <c r="H57" s="36">
        <v>6000</v>
      </c>
      <c r="I57" s="94">
        <v>0.11</v>
      </c>
      <c r="J57" s="42">
        <f t="shared" si="0"/>
        <v>660</v>
      </c>
    </row>
    <row r="58" ht="16.5" spans="1:10">
      <c r="A58" s="27">
        <v>45889</v>
      </c>
      <c r="B58" s="27" t="s">
        <v>39</v>
      </c>
      <c r="C58" s="106" t="s">
        <v>107</v>
      </c>
      <c r="D58" s="83" t="s">
        <v>108</v>
      </c>
      <c r="E58" s="27" t="s">
        <v>109</v>
      </c>
      <c r="F58" s="85" t="s">
        <v>110</v>
      </c>
      <c r="G58" s="36" t="s">
        <v>111</v>
      </c>
      <c r="H58" s="36">
        <v>1235</v>
      </c>
      <c r="I58" s="108">
        <v>1.07</v>
      </c>
      <c r="J58" s="108">
        <f t="shared" si="0"/>
        <v>1321.45</v>
      </c>
    </row>
    <row r="59" ht="16.5" spans="1:10">
      <c r="A59" s="27"/>
      <c r="B59" s="27"/>
      <c r="C59" s="84"/>
      <c r="D59" s="83"/>
      <c r="E59" s="27"/>
      <c r="F59" s="86"/>
      <c r="G59" s="36" t="s">
        <v>94</v>
      </c>
      <c r="H59" s="36">
        <v>12</v>
      </c>
      <c r="I59" s="108">
        <v>0</v>
      </c>
      <c r="J59" s="108">
        <f t="shared" si="0"/>
        <v>0</v>
      </c>
    </row>
    <row r="60" ht="16.5" spans="1:10">
      <c r="A60" s="27"/>
      <c r="B60" s="27"/>
      <c r="C60" s="84"/>
      <c r="D60" s="83"/>
      <c r="E60" s="27"/>
      <c r="F60" s="110"/>
      <c r="G60" s="36" t="s">
        <v>95</v>
      </c>
      <c r="H60" s="36">
        <f>5*10+5</f>
        <v>55</v>
      </c>
      <c r="I60" s="108">
        <v>0</v>
      </c>
      <c r="J60" s="108">
        <f t="shared" si="0"/>
        <v>0</v>
      </c>
    </row>
    <row r="61" ht="16.5" spans="1:10">
      <c r="A61" s="27"/>
      <c r="B61" s="27"/>
      <c r="C61" s="84"/>
      <c r="D61" s="83"/>
      <c r="E61" s="27"/>
      <c r="F61" s="85" t="s">
        <v>112</v>
      </c>
      <c r="G61" s="36" t="s">
        <v>91</v>
      </c>
      <c r="H61" s="36">
        <f>1225+10</f>
        <v>1235</v>
      </c>
      <c r="I61" s="108">
        <v>0.24</v>
      </c>
      <c r="J61" s="108">
        <f t="shared" si="0"/>
        <v>296.4</v>
      </c>
    </row>
    <row r="62" ht="16.5" spans="1:10">
      <c r="A62" s="27"/>
      <c r="B62" s="27"/>
      <c r="C62" s="84"/>
      <c r="D62" s="83"/>
      <c r="E62" s="27"/>
      <c r="F62" s="86"/>
      <c r="G62" s="36" t="s">
        <v>22</v>
      </c>
      <c r="H62" s="36">
        <v>1235</v>
      </c>
      <c r="I62" s="94">
        <v>0.11</v>
      </c>
      <c r="J62" s="108">
        <f t="shared" si="0"/>
        <v>135.85</v>
      </c>
    </row>
    <row r="63" ht="16.5" spans="1:10">
      <c r="A63" s="27"/>
      <c r="B63" s="27"/>
      <c r="C63" s="84"/>
      <c r="D63" s="83"/>
      <c r="E63" s="27"/>
      <c r="F63" s="110"/>
      <c r="G63" s="36" t="s">
        <v>113</v>
      </c>
      <c r="H63" s="36">
        <v>1235</v>
      </c>
      <c r="I63" s="108">
        <v>0</v>
      </c>
      <c r="J63" s="108">
        <f t="shared" si="0"/>
        <v>0</v>
      </c>
    </row>
    <row r="64" ht="16.5" spans="1:10">
      <c r="A64" s="27"/>
      <c r="B64" s="27"/>
      <c r="C64" s="84"/>
      <c r="D64" s="83"/>
      <c r="E64" s="27"/>
      <c r="F64" s="27" t="s">
        <v>114</v>
      </c>
      <c r="G64" s="36" t="s">
        <v>64</v>
      </c>
      <c r="H64" s="36">
        <f>1235</f>
        <v>1235</v>
      </c>
      <c r="I64" s="94">
        <f>0.042*5</f>
        <v>0.21</v>
      </c>
      <c r="J64" s="94">
        <f t="shared" si="0"/>
        <v>259.35</v>
      </c>
    </row>
    <row r="65" ht="16.5" spans="3:10">
      <c r="C65"/>
      <c r="F65"/>
      <c r="J65" s="115">
        <f>SUM(J3:J64)</f>
        <v>119902.411</v>
      </c>
    </row>
    <row r="66" spans="3:6">
      <c r="C66"/>
      <c r="F66"/>
    </row>
    <row r="67" spans="3:6">
      <c r="C67"/>
      <c r="F67"/>
    </row>
    <row r="68" spans="3:6">
      <c r="C68"/>
      <c r="F68"/>
    </row>
    <row r="69" spans="3:6">
      <c r="C69"/>
      <c r="F69"/>
    </row>
    <row r="70" spans="3:6">
      <c r="C70"/>
      <c r="F70"/>
    </row>
    <row r="71" spans="3:6">
      <c r="C71"/>
      <c r="F71"/>
    </row>
    <row r="74" ht="28.5" spans="1:10">
      <c r="A74" s="48" t="s">
        <v>115</v>
      </c>
      <c r="B74" s="48"/>
      <c r="C74" s="48"/>
      <c r="D74" s="48"/>
      <c r="E74" s="48"/>
      <c r="F74" s="48"/>
      <c r="G74" s="48"/>
      <c r="H74" s="48"/>
      <c r="I74" s="48"/>
      <c r="J74" s="48"/>
    </row>
    <row r="75" ht="14.5" spans="1:10">
      <c r="A75" s="49" t="s">
        <v>116</v>
      </c>
      <c r="B75" s="49" t="s">
        <v>117</v>
      </c>
      <c r="C75" s="49" t="s">
        <v>118</v>
      </c>
      <c r="D75" s="49" t="s">
        <v>119</v>
      </c>
      <c r="E75" s="49" t="s">
        <v>120</v>
      </c>
      <c r="F75" s="50" t="s">
        <v>121</v>
      </c>
      <c r="G75" s="49" t="s">
        <v>122</v>
      </c>
      <c r="H75" s="49" t="s">
        <v>123</v>
      </c>
      <c r="I75" s="49" t="s">
        <v>124</v>
      </c>
      <c r="J75" s="49" t="s">
        <v>125</v>
      </c>
    </row>
    <row r="76" ht="28.5" spans="1:10">
      <c r="A76" s="49"/>
      <c r="B76" s="49"/>
      <c r="C76" s="49"/>
      <c r="D76" s="49" t="s">
        <v>126</v>
      </c>
      <c r="E76" s="49"/>
      <c r="F76" s="50" t="s">
        <v>127</v>
      </c>
      <c r="G76" s="49"/>
      <c r="H76" s="49"/>
      <c r="I76" s="51" t="s">
        <v>128</v>
      </c>
      <c r="J76" s="49"/>
    </row>
    <row r="77" ht="14.5" spans="1:10">
      <c r="A77" s="112">
        <v>1</v>
      </c>
      <c r="B77" s="113">
        <v>45942</v>
      </c>
      <c r="C77" s="114" t="s">
        <v>129</v>
      </c>
      <c r="D77" s="114" t="s">
        <v>130</v>
      </c>
      <c r="E77" s="114" t="s">
        <v>131</v>
      </c>
      <c r="F77" s="114" t="s">
        <v>131</v>
      </c>
      <c r="G77" s="114" t="s">
        <v>131</v>
      </c>
      <c r="H77" s="114"/>
      <c r="I77" s="116">
        <v>6922.881</v>
      </c>
      <c r="J77" s="114"/>
    </row>
  </sheetData>
  <autoFilter xmlns:etc="http://www.wps.cn/officeDocument/2017/etCustomData" ref="A1:J65" etc:filterBottomFollowUsedRange="0">
    <extLst/>
  </autoFilter>
  <mergeCells count="87">
    <mergeCell ref="A1:J1"/>
    <mergeCell ref="A74:J74"/>
    <mergeCell ref="A3:A6"/>
    <mergeCell ref="A8:A14"/>
    <mergeCell ref="A15:A18"/>
    <mergeCell ref="A19:A22"/>
    <mergeCell ref="A23:A26"/>
    <mergeCell ref="A27:A30"/>
    <mergeCell ref="A31:A36"/>
    <mergeCell ref="A37:A45"/>
    <mergeCell ref="A46:A47"/>
    <mergeCell ref="A48:A52"/>
    <mergeCell ref="A53:A57"/>
    <mergeCell ref="A58:A64"/>
    <mergeCell ref="A75:A76"/>
    <mergeCell ref="B3:B6"/>
    <mergeCell ref="B8:B14"/>
    <mergeCell ref="B15:B18"/>
    <mergeCell ref="B19:B22"/>
    <mergeCell ref="B23:B26"/>
    <mergeCell ref="B27:B30"/>
    <mergeCell ref="B31:B36"/>
    <mergeCell ref="B37:B45"/>
    <mergeCell ref="B46:B47"/>
    <mergeCell ref="B48:B52"/>
    <mergeCell ref="B53:B57"/>
    <mergeCell ref="B58:B64"/>
    <mergeCell ref="B75:B76"/>
    <mergeCell ref="C3:C6"/>
    <mergeCell ref="C8:C14"/>
    <mergeCell ref="C15:C18"/>
    <mergeCell ref="C19:C22"/>
    <mergeCell ref="C23:C26"/>
    <mergeCell ref="C27:C30"/>
    <mergeCell ref="C31:C36"/>
    <mergeCell ref="C37:C45"/>
    <mergeCell ref="C46:C47"/>
    <mergeCell ref="C48:C52"/>
    <mergeCell ref="C53:C57"/>
    <mergeCell ref="C58:C64"/>
    <mergeCell ref="C75:C76"/>
    <mergeCell ref="D3:D6"/>
    <mergeCell ref="D8:D14"/>
    <mergeCell ref="D15:D18"/>
    <mergeCell ref="D19:D22"/>
    <mergeCell ref="D23:D26"/>
    <mergeCell ref="D27:D30"/>
    <mergeCell ref="D31:D36"/>
    <mergeCell ref="D37:D45"/>
    <mergeCell ref="D46:D47"/>
    <mergeCell ref="D48:D52"/>
    <mergeCell ref="D53:D57"/>
    <mergeCell ref="D58:D64"/>
    <mergeCell ref="E3:E6"/>
    <mergeCell ref="E8:E14"/>
    <mergeCell ref="E15:E18"/>
    <mergeCell ref="E19:E22"/>
    <mergeCell ref="E23:E26"/>
    <mergeCell ref="E27:E30"/>
    <mergeCell ref="E31:E36"/>
    <mergeCell ref="E37:E45"/>
    <mergeCell ref="E46:E47"/>
    <mergeCell ref="E48:E52"/>
    <mergeCell ref="E53:E57"/>
    <mergeCell ref="E58:E64"/>
    <mergeCell ref="E75:E76"/>
    <mergeCell ref="F3:F6"/>
    <mergeCell ref="F8:F9"/>
    <mergeCell ref="F10:F11"/>
    <mergeCell ref="F15:F16"/>
    <mergeCell ref="F19:F20"/>
    <mergeCell ref="F21:F22"/>
    <mergeCell ref="F23:F24"/>
    <mergeCell ref="F25:F26"/>
    <mergeCell ref="F27:F28"/>
    <mergeCell ref="F29:F30"/>
    <mergeCell ref="F31:F32"/>
    <mergeCell ref="F33:F35"/>
    <mergeCell ref="F37:F45"/>
    <mergeCell ref="F46:F47"/>
    <mergeCell ref="F48:F52"/>
    <mergeCell ref="F53:F57"/>
    <mergeCell ref="F58:F60"/>
    <mergeCell ref="F61:F63"/>
    <mergeCell ref="G75:G76"/>
    <mergeCell ref="H75:H76"/>
    <mergeCell ref="J75:J76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workbookViewId="0">
      <selection activeCell="E6" sqref="E6:E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8.3636363636364" customWidth="1"/>
    <col min="6" max="6" width="17.3636363636364" style="25" customWidth="1"/>
    <col min="7" max="7" width="57.9090909090909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132</v>
      </c>
    </row>
    <row r="3" ht="33" hidden="1" spans="1:10">
      <c r="A3" s="79">
        <v>45761</v>
      </c>
      <c r="B3" s="66" t="s">
        <v>39</v>
      </c>
      <c r="C3" s="66">
        <v>76382</v>
      </c>
      <c r="D3" s="80" t="s">
        <v>133</v>
      </c>
      <c r="E3" s="66" t="s">
        <v>134</v>
      </c>
      <c r="F3" s="81" t="s">
        <v>135</v>
      </c>
      <c r="G3" s="82" t="s">
        <v>136</v>
      </c>
      <c r="H3" s="82">
        <v>201</v>
      </c>
      <c r="I3" s="82">
        <v>0.007</v>
      </c>
      <c r="J3" s="82">
        <f>H3*I3</f>
        <v>1.407</v>
      </c>
    </row>
    <row r="4" ht="16" customHeight="1" spans="1:10">
      <c r="A4" s="27">
        <v>45755</v>
      </c>
      <c r="B4" s="27" t="s">
        <v>39</v>
      </c>
      <c r="C4" s="27" t="s">
        <v>137</v>
      </c>
      <c r="D4" s="83" t="s">
        <v>138</v>
      </c>
      <c r="E4" s="27" t="s">
        <v>139</v>
      </c>
      <c r="F4" s="27" t="s">
        <v>140</v>
      </c>
      <c r="G4" s="36" t="s">
        <v>141</v>
      </c>
      <c r="H4" s="36">
        <f>5926</f>
        <v>5926</v>
      </c>
      <c r="I4" s="36">
        <f>0.007*2</f>
        <v>0.014</v>
      </c>
      <c r="J4" s="95">
        <f>H4*I4</f>
        <v>82.964</v>
      </c>
    </row>
    <row r="5" ht="16" customHeight="1" spans="1:10">
      <c r="A5" s="27"/>
      <c r="B5" s="27"/>
      <c r="C5" s="27"/>
      <c r="D5" s="83"/>
      <c r="E5" s="27"/>
      <c r="F5" s="27" t="s">
        <v>142</v>
      </c>
      <c r="G5" s="36" t="s">
        <v>143</v>
      </c>
      <c r="H5" s="36">
        <f>58</f>
        <v>58</v>
      </c>
      <c r="I5" s="36">
        <v>0</v>
      </c>
      <c r="J5" s="94">
        <f t="shared" ref="J5:J26" si="0">H5*I5</f>
        <v>0</v>
      </c>
    </row>
    <row r="6" ht="16.5" spans="1:10">
      <c r="A6" s="27">
        <v>45825</v>
      </c>
      <c r="B6" s="27" t="s">
        <v>39</v>
      </c>
      <c r="C6" s="84" t="s">
        <v>144</v>
      </c>
      <c r="D6" s="83" t="s">
        <v>145</v>
      </c>
      <c r="E6" s="27" t="s">
        <v>146</v>
      </c>
      <c r="F6" s="85" t="s">
        <v>147</v>
      </c>
      <c r="G6" s="36" t="s">
        <v>21</v>
      </c>
      <c r="H6" s="36">
        <v>1200</v>
      </c>
      <c r="I6" s="36">
        <v>0.039</v>
      </c>
      <c r="J6" s="94">
        <f t="shared" si="0"/>
        <v>46.8</v>
      </c>
    </row>
    <row r="7" ht="16.5" spans="1:10">
      <c r="A7" s="27"/>
      <c r="B7" s="27"/>
      <c r="C7" s="84"/>
      <c r="D7" s="83"/>
      <c r="E7" s="27"/>
      <c r="F7" s="86"/>
      <c r="G7" s="36" t="s">
        <v>148</v>
      </c>
      <c r="H7" s="36">
        <f>H6*0.01</f>
        <v>12</v>
      </c>
      <c r="I7" s="36">
        <v>0</v>
      </c>
      <c r="J7" s="94">
        <f t="shared" si="0"/>
        <v>0</v>
      </c>
    </row>
    <row r="8" ht="16.5" spans="1:10">
      <c r="A8" s="87">
        <v>45832</v>
      </c>
      <c r="B8" s="87" t="s">
        <v>39</v>
      </c>
      <c r="C8" s="88">
        <v>78832</v>
      </c>
      <c r="D8" s="89" t="s">
        <v>149</v>
      </c>
      <c r="E8" s="87" t="s">
        <v>150</v>
      </c>
      <c r="F8" s="90" t="s">
        <v>151</v>
      </c>
      <c r="G8" s="42" t="s">
        <v>21</v>
      </c>
      <c r="H8" s="42">
        <v>3500</v>
      </c>
      <c r="I8" s="42">
        <v>0.039</v>
      </c>
      <c r="J8" s="94">
        <f t="shared" si="0"/>
        <v>136.5</v>
      </c>
    </row>
    <row r="9" ht="16.5" spans="1:10">
      <c r="A9" s="87"/>
      <c r="B9" s="87"/>
      <c r="C9" s="91"/>
      <c r="D9" s="89"/>
      <c r="E9" s="87"/>
      <c r="F9" s="92"/>
      <c r="G9" s="42" t="s">
        <v>148</v>
      </c>
      <c r="H9" s="42">
        <f>H8*0.01</f>
        <v>35</v>
      </c>
      <c r="I9" s="42">
        <v>0</v>
      </c>
      <c r="J9" s="94">
        <f t="shared" si="0"/>
        <v>0</v>
      </c>
    </row>
    <row r="10" ht="16.5" spans="1:10">
      <c r="A10" s="27">
        <v>45848</v>
      </c>
      <c r="B10" s="28" t="s">
        <v>39</v>
      </c>
      <c r="C10" s="28" t="s">
        <v>152</v>
      </c>
      <c r="D10" s="70" t="s">
        <v>153</v>
      </c>
      <c r="E10" s="28" t="s">
        <v>154</v>
      </c>
      <c r="F10" s="27" t="s">
        <v>75</v>
      </c>
      <c r="G10" s="42" t="s">
        <v>91</v>
      </c>
      <c r="H10" s="42">
        <v>2000</v>
      </c>
      <c r="I10" s="42">
        <v>0.039</v>
      </c>
      <c r="J10" s="94">
        <f t="shared" si="0"/>
        <v>78</v>
      </c>
    </row>
    <row r="11" ht="16.5" spans="1:10">
      <c r="A11" s="27"/>
      <c r="B11" s="28"/>
      <c r="C11" s="28"/>
      <c r="D11" s="70"/>
      <c r="E11" s="28"/>
      <c r="F11" s="27"/>
      <c r="G11" s="42" t="s">
        <v>148</v>
      </c>
      <c r="H11" s="42">
        <f>H10*0.01</f>
        <v>20</v>
      </c>
      <c r="I11" s="36">
        <v>0</v>
      </c>
      <c r="J11" s="94">
        <f t="shared" si="0"/>
        <v>0</v>
      </c>
    </row>
    <row r="12" ht="16.5" spans="1:10">
      <c r="A12" s="27"/>
      <c r="B12" s="28"/>
      <c r="C12" s="28"/>
      <c r="D12" s="70"/>
      <c r="E12" s="28"/>
      <c r="F12" s="27" t="s">
        <v>155</v>
      </c>
      <c r="G12" s="36" t="s">
        <v>64</v>
      </c>
      <c r="H12" s="36">
        <f>3200</f>
        <v>3200</v>
      </c>
      <c r="I12" s="36">
        <f>0.007*5</f>
        <v>0.035</v>
      </c>
      <c r="J12" s="94">
        <f t="shared" si="0"/>
        <v>112</v>
      </c>
    </row>
    <row r="13" ht="16.5" spans="1:10">
      <c r="A13" s="87">
        <v>45848</v>
      </c>
      <c r="B13" s="87" t="s">
        <v>39</v>
      </c>
      <c r="C13" s="88">
        <v>79777</v>
      </c>
      <c r="D13" s="89" t="s">
        <v>156</v>
      </c>
      <c r="E13" s="87" t="s">
        <v>157</v>
      </c>
      <c r="F13" s="87" t="s">
        <v>158</v>
      </c>
      <c r="G13" s="42" t="s">
        <v>21</v>
      </c>
      <c r="H13" s="42">
        <v>3000</v>
      </c>
      <c r="I13" s="42">
        <v>0.039</v>
      </c>
      <c r="J13" s="94">
        <f t="shared" si="0"/>
        <v>117</v>
      </c>
    </row>
    <row r="14" ht="16.5" spans="1:10">
      <c r="A14" s="87"/>
      <c r="B14" s="87"/>
      <c r="C14" s="91"/>
      <c r="D14" s="89"/>
      <c r="E14" s="87"/>
      <c r="F14" s="87"/>
      <c r="G14" s="42" t="s">
        <v>148</v>
      </c>
      <c r="H14" s="42">
        <f>3000*0.01</f>
        <v>30</v>
      </c>
      <c r="I14" s="42">
        <v>0</v>
      </c>
      <c r="J14" s="94">
        <f t="shared" si="0"/>
        <v>0</v>
      </c>
    </row>
    <row r="15" ht="16.5" spans="1:10">
      <c r="A15" s="27">
        <v>45866</v>
      </c>
      <c r="B15" s="28" t="s">
        <v>39</v>
      </c>
      <c r="C15" s="28">
        <v>84011</v>
      </c>
      <c r="D15" s="70" t="s">
        <v>159</v>
      </c>
      <c r="E15" s="28" t="s">
        <v>160</v>
      </c>
      <c r="F15" s="27" t="s">
        <v>90</v>
      </c>
      <c r="G15" s="93" t="s">
        <v>161</v>
      </c>
      <c r="H15" s="93">
        <v>750</v>
      </c>
      <c r="I15" s="94">
        <v>0.034</v>
      </c>
      <c r="J15" s="94">
        <f t="shared" si="0"/>
        <v>25.5</v>
      </c>
    </row>
    <row r="16" ht="16.5" spans="1:10">
      <c r="A16" s="27"/>
      <c r="B16" s="28"/>
      <c r="C16" s="28"/>
      <c r="D16" s="70"/>
      <c r="E16" s="28"/>
      <c r="F16" s="27"/>
      <c r="G16" s="93" t="s">
        <v>162</v>
      </c>
      <c r="H16" s="94">
        <v>8</v>
      </c>
      <c r="I16" s="94">
        <v>0</v>
      </c>
      <c r="J16" s="94">
        <f t="shared" si="0"/>
        <v>0</v>
      </c>
    </row>
    <row r="17" ht="16.5" spans="1:10">
      <c r="A17" s="27"/>
      <c r="B17" s="28"/>
      <c r="C17" s="28"/>
      <c r="D17" s="70"/>
      <c r="E17" s="28"/>
      <c r="F17" s="27" t="s">
        <v>163</v>
      </c>
      <c r="G17" s="93" t="s">
        <v>164</v>
      </c>
      <c r="H17" s="93">
        <v>750</v>
      </c>
      <c r="I17" s="94">
        <v>0.026</v>
      </c>
      <c r="J17" s="94">
        <f t="shared" si="0"/>
        <v>19.5</v>
      </c>
    </row>
    <row r="18" ht="16.5" spans="1:10">
      <c r="A18" s="27"/>
      <c r="B18" s="28"/>
      <c r="C18" s="28"/>
      <c r="D18" s="70"/>
      <c r="E18" s="28"/>
      <c r="F18" s="27"/>
      <c r="G18" s="93" t="s">
        <v>165</v>
      </c>
      <c r="H18" s="94">
        <v>8</v>
      </c>
      <c r="I18" s="94">
        <v>0</v>
      </c>
      <c r="J18" s="94">
        <f t="shared" si="0"/>
        <v>0</v>
      </c>
    </row>
    <row r="19" ht="16.5" spans="1:10">
      <c r="A19" s="27">
        <v>45883</v>
      </c>
      <c r="B19" s="28" t="s">
        <v>39</v>
      </c>
      <c r="C19" s="28" t="s">
        <v>43</v>
      </c>
      <c r="D19" s="70" t="s">
        <v>166</v>
      </c>
      <c r="E19" s="28" t="s">
        <v>167</v>
      </c>
      <c r="F19" s="27" t="s">
        <v>168</v>
      </c>
      <c r="G19" s="42" t="s">
        <v>169</v>
      </c>
      <c r="H19" s="36">
        <v>15470</v>
      </c>
      <c r="I19" s="94">
        <v>0.06</v>
      </c>
      <c r="J19" s="94">
        <f t="shared" si="0"/>
        <v>928.2</v>
      </c>
    </row>
    <row r="20" ht="16.5" spans="1:10">
      <c r="A20" s="27"/>
      <c r="B20" s="28"/>
      <c r="C20" s="28"/>
      <c r="D20" s="70"/>
      <c r="E20" s="28"/>
      <c r="F20" s="27"/>
      <c r="G20" s="42" t="s">
        <v>170</v>
      </c>
      <c r="H20" s="36">
        <v>773</v>
      </c>
      <c r="I20" s="94">
        <v>0</v>
      </c>
      <c r="J20" s="94">
        <f t="shared" si="0"/>
        <v>0</v>
      </c>
    </row>
    <row r="21" ht="16.5" spans="1:10">
      <c r="A21" s="27">
        <v>45907</v>
      </c>
      <c r="B21" s="28" t="s">
        <v>39</v>
      </c>
      <c r="C21" s="28">
        <v>40061</v>
      </c>
      <c r="D21" s="70" t="s">
        <v>171</v>
      </c>
      <c r="E21" s="28" t="s">
        <v>172</v>
      </c>
      <c r="F21" s="27" t="s">
        <v>173</v>
      </c>
      <c r="G21" s="36" t="s">
        <v>174</v>
      </c>
      <c r="H21" s="36">
        <v>9500</v>
      </c>
      <c r="I21" s="94">
        <v>0.007</v>
      </c>
      <c r="J21" s="94">
        <f t="shared" si="0"/>
        <v>66.5</v>
      </c>
    </row>
    <row r="22" ht="16.5" spans="1:10">
      <c r="A22" s="27"/>
      <c r="B22" s="28"/>
      <c r="C22" s="28"/>
      <c r="D22" s="70"/>
      <c r="E22" s="28"/>
      <c r="F22" s="27"/>
      <c r="G22" s="36" t="s">
        <v>175</v>
      </c>
      <c r="H22" s="42">
        <f>H21*0.01</f>
        <v>95</v>
      </c>
      <c r="I22" s="94">
        <v>0</v>
      </c>
      <c r="J22" s="94">
        <f t="shared" si="0"/>
        <v>0</v>
      </c>
    </row>
    <row r="23" ht="16.5" spans="1:10">
      <c r="A23" s="27">
        <v>45910</v>
      </c>
      <c r="B23" s="28" t="s">
        <v>39</v>
      </c>
      <c r="C23" s="28">
        <v>85359</v>
      </c>
      <c r="D23" s="70" t="s">
        <v>176</v>
      </c>
      <c r="E23" s="28" t="s">
        <v>177</v>
      </c>
      <c r="F23" s="27" t="s">
        <v>178</v>
      </c>
      <c r="G23" s="36" t="s">
        <v>179</v>
      </c>
      <c r="H23" s="36">
        <f>1000</f>
        <v>1000</v>
      </c>
      <c r="I23" s="94">
        <f>0.007*2</f>
        <v>0.014</v>
      </c>
      <c r="J23" s="94">
        <f t="shared" si="0"/>
        <v>14</v>
      </c>
    </row>
    <row r="24" ht="16.5" spans="1:10">
      <c r="A24" s="27"/>
      <c r="B24" s="28"/>
      <c r="C24" s="28"/>
      <c r="D24" s="70"/>
      <c r="E24" s="28"/>
      <c r="F24" s="27"/>
      <c r="G24" s="28" t="s">
        <v>180</v>
      </c>
      <c r="H24" s="36">
        <f>H23*0.01</f>
        <v>10</v>
      </c>
      <c r="I24" s="94">
        <v>0</v>
      </c>
      <c r="J24" s="94">
        <f t="shared" si="0"/>
        <v>0</v>
      </c>
    </row>
    <row r="25" ht="16.5" spans="1:10">
      <c r="A25" s="27"/>
      <c r="B25" s="28"/>
      <c r="C25" s="28"/>
      <c r="D25" s="70"/>
      <c r="E25" s="28"/>
      <c r="F25" s="87" t="s">
        <v>181</v>
      </c>
      <c r="G25" s="42" t="s">
        <v>91</v>
      </c>
      <c r="H25" s="42">
        <v>1000</v>
      </c>
      <c r="I25" s="94">
        <v>0.039</v>
      </c>
      <c r="J25" s="94">
        <f t="shared" si="0"/>
        <v>39</v>
      </c>
    </row>
    <row r="26" ht="16.5" spans="1:10">
      <c r="A26" s="27"/>
      <c r="B26" s="28"/>
      <c r="C26" s="28"/>
      <c r="D26" s="70"/>
      <c r="E26" s="28"/>
      <c r="F26" s="87"/>
      <c r="G26" s="42" t="s">
        <v>148</v>
      </c>
      <c r="H26" s="42">
        <f>H25*0.01</f>
        <v>10</v>
      </c>
      <c r="I26" s="36">
        <v>0</v>
      </c>
      <c r="J26" s="94">
        <f t="shared" si="0"/>
        <v>0</v>
      </c>
    </row>
    <row r="27" ht="16.5" spans="10:10">
      <c r="J27" s="96">
        <f>SUM(J4:J26)</f>
        <v>1665.964</v>
      </c>
    </row>
  </sheetData>
  <autoFilter xmlns:etc="http://www.wps.cn/officeDocument/2017/etCustomData" ref="A1:J27" etc:filterBottomFollowUsedRange="0">
    <extLst/>
  </autoFilter>
  <mergeCells count="56">
    <mergeCell ref="A1:J1"/>
    <mergeCell ref="A4:A5"/>
    <mergeCell ref="A6:A7"/>
    <mergeCell ref="A8:A9"/>
    <mergeCell ref="A10:A12"/>
    <mergeCell ref="A13:A14"/>
    <mergeCell ref="A15:A18"/>
    <mergeCell ref="A19:A20"/>
    <mergeCell ref="A21:A22"/>
    <mergeCell ref="A23:A26"/>
    <mergeCell ref="B4:B5"/>
    <mergeCell ref="B6:B7"/>
    <mergeCell ref="B8:B9"/>
    <mergeCell ref="B10:B12"/>
    <mergeCell ref="B13:B14"/>
    <mergeCell ref="B15:B18"/>
    <mergeCell ref="B19:B20"/>
    <mergeCell ref="B21:B22"/>
    <mergeCell ref="B23:B26"/>
    <mergeCell ref="C4:C5"/>
    <mergeCell ref="C6:C7"/>
    <mergeCell ref="C8:C9"/>
    <mergeCell ref="C10:C12"/>
    <mergeCell ref="C13:C14"/>
    <mergeCell ref="C15:C18"/>
    <mergeCell ref="C19:C20"/>
    <mergeCell ref="C21:C22"/>
    <mergeCell ref="C23:C26"/>
    <mergeCell ref="D4:D5"/>
    <mergeCell ref="D6:D7"/>
    <mergeCell ref="D8:D9"/>
    <mergeCell ref="D10:D12"/>
    <mergeCell ref="D13:D14"/>
    <mergeCell ref="D15:D18"/>
    <mergeCell ref="D19:D20"/>
    <mergeCell ref="D21:D22"/>
    <mergeCell ref="D23:D26"/>
    <mergeCell ref="E4:E5"/>
    <mergeCell ref="E6:E7"/>
    <mergeCell ref="E8:E9"/>
    <mergeCell ref="E10:E12"/>
    <mergeCell ref="E13:E14"/>
    <mergeCell ref="E15:E18"/>
    <mergeCell ref="E19:E20"/>
    <mergeCell ref="E21:E22"/>
    <mergeCell ref="E23:E26"/>
    <mergeCell ref="F6:F7"/>
    <mergeCell ref="F8:F9"/>
    <mergeCell ref="F10:F11"/>
    <mergeCell ref="F13:F14"/>
    <mergeCell ref="F15:F16"/>
    <mergeCell ref="F17:F18"/>
    <mergeCell ref="F19:F20"/>
    <mergeCell ref="F21:F22"/>
    <mergeCell ref="F23:F24"/>
    <mergeCell ref="F25:F26"/>
  </mergeCell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workbookViewId="0">
      <selection activeCell="G25" sqref="G25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ht="16.5" spans="1:10">
      <c r="A3" s="27">
        <v>45730</v>
      </c>
      <c r="B3" s="28" t="s">
        <v>182</v>
      </c>
      <c r="C3" s="28" t="s">
        <v>183</v>
      </c>
      <c r="D3" s="70" t="s">
        <v>184</v>
      </c>
      <c r="E3" s="28" t="s">
        <v>185</v>
      </c>
      <c r="F3" s="64" t="s">
        <v>186</v>
      </c>
      <c r="G3" s="42" t="s">
        <v>187</v>
      </c>
      <c r="H3" s="71">
        <f>32000*1.02</f>
        <v>32640</v>
      </c>
      <c r="I3" s="65">
        <v>1.07</v>
      </c>
      <c r="J3" s="65">
        <f t="shared" ref="J3:J19" si="0">H3*I3</f>
        <v>34924.8</v>
      </c>
    </row>
    <row r="4" ht="16.5" spans="1:10">
      <c r="A4" s="27"/>
      <c r="B4" s="28"/>
      <c r="C4" s="28"/>
      <c r="D4" s="70"/>
      <c r="E4" s="28"/>
      <c r="F4" s="67"/>
      <c r="G4" s="42" t="s">
        <v>77</v>
      </c>
      <c r="H4" s="71">
        <v>320</v>
      </c>
      <c r="I4" s="65">
        <v>0</v>
      </c>
      <c r="J4" s="65">
        <f t="shared" si="0"/>
        <v>0</v>
      </c>
    </row>
    <row r="5" ht="16.5" spans="1:10">
      <c r="A5" s="27"/>
      <c r="B5" s="28"/>
      <c r="C5" s="28"/>
      <c r="D5" s="70"/>
      <c r="E5" s="28"/>
      <c r="F5" s="67"/>
      <c r="G5" s="28" t="s">
        <v>103</v>
      </c>
      <c r="H5" s="71">
        <f>2*5*5+5</f>
        <v>55</v>
      </c>
      <c r="I5" s="65">
        <v>0</v>
      </c>
      <c r="J5" s="65">
        <f t="shared" si="0"/>
        <v>0</v>
      </c>
    </row>
    <row r="6" ht="16.5" spans="1:10">
      <c r="A6" s="27"/>
      <c r="B6" s="28"/>
      <c r="C6" s="28"/>
      <c r="D6" s="70"/>
      <c r="E6" s="28"/>
      <c r="F6" s="67"/>
      <c r="G6" s="42" t="s">
        <v>91</v>
      </c>
      <c r="H6" s="71">
        <f>8000+8000+8000+8000</f>
        <v>32000</v>
      </c>
      <c r="I6" s="36">
        <v>0.28</v>
      </c>
      <c r="J6" s="65">
        <f t="shared" si="0"/>
        <v>8960</v>
      </c>
    </row>
    <row r="7" ht="16.5" spans="1:10">
      <c r="A7" s="27"/>
      <c r="B7" s="28"/>
      <c r="C7" s="28"/>
      <c r="D7" s="70"/>
      <c r="E7" s="28"/>
      <c r="F7" s="67"/>
      <c r="G7" s="36" t="s">
        <v>22</v>
      </c>
      <c r="H7" s="71">
        <f>8000+8000+8000+8000</f>
        <v>32000</v>
      </c>
      <c r="I7" s="36">
        <v>0.11</v>
      </c>
      <c r="J7" s="65">
        <f t="shared" si="0"/>
        <v>3520</v>
      </c>
    </row>
    <row r="8" ht="16.5" spans="1:10">
      <c r="A8" s="27"/>
      <c r="B8" s="28"/>
      <c r="C8" s="28"/>
      <c r="D8" s="70"/>
      <c r="E8" s="28"/>
      <c r="F8" s="68"/>
      <c r="G8" s="36" t="s">
        <v>188</v>
      </c>
      <c r="H8" s="36">
        <f>32000*4</f>
        <v>128000</v>
      </c>
      <c r="I8" s="36">
        <v>0.042</v>
      </c>
      <c r="J8" s="36">
        <f t="shared" si="0"/>
        <v>5376</v>
      </c>
    </row>
    <row r="9" ht="16.5" spans="1:10">
      <c r="A9" s="27">
        <v>45742</v>
      </c>
      <c r="B9" s="28" t="s">
        <v>182</v>
      </c>
      <c r="C9" s="28" t="s">
        <v>189</v>
      </c>
      <c r="D9" s="70" t="s">
        <v>190</v>
      </c>
      <c r="E9" s="28" t="s">
        <v>191</v>
      </c>
      <c r="F9" s="73" t="s">
        <v>192</v>
      </c>
      <c r="G9" s="42" t="s">
        <v>76</v>
      </c>
      <c r="H9" s="42">
        <v>8000</v>
      </c>
      <c r="I9" s="42">
        <v>1.07</v>
      </c>
      <c r="J9" s="42">
        <f t="shared" si="0"/>
        <v>8560</v>
      </c>
    </row>
    <row r="10" ht="16.5" spans="1:10">
      <c r="A10" s="27"/>
      <c r="B10" s="28"/>
      <c r="C10" s="28"/>
      <c r="D10" s="70"/>
      <c r="E10" s="28"/>
      <c r="F10" s="73"/>
      <c r="G10" s="42" t="s">
        <v>77</v>
      </c>
      <c r="H10" s="42">
        <f>H9*0.01</f>
        <v>80</v>
      </c>
      <c r="I10" s="42">
        <v>0</v>
      </c>
      <c r="J10" s="42">
        <f t="shared" si="0"/>
        <v>0</v>
      </c>
    </row>
    <row r="11" ht="16.5" spans="1:10">
      <c r="A11" s="27"/>
      <c r="B11" s="28"/>
      <c r="C11" s="28"/>
      <c r="D11" s="70"/>
      <c r="E11" s="28"/>
      <c r="F11" s="73"/>
      <c r="G11" s="42" t="s">
        <v>91</v>
      </c>
      <c r="H11" s="42">
        <v>8000</v>
      </c>
      <c r="I11" s="42">
        <v>0.28</v>
      </c>
      <c r="J11" s="42">
        <f t="shared" si="0"/>
        <v>2240</v>
      </c>
    </row>
    <row r="12" ht="16.5" spans="1:10">
      <c r="A12" s="27"/>
      <c r="B12" s="28"/>
      <c r="C12" s="28"/>
      <c r="D12" s="70"/>
      <c r="E12" s="28"/>
      <c r="F12" s="73"/>
      <c r="G12" s="42" t="s">
        <v>22</v>
      </c>
      <c r="H12" s="42">
        <v>8000</v>
      </c>
      <c r="I12" s="42">
        <v>0.11</v>
      </c>
      <c r="J12" s="42">
        <f t="shared" si="0"/>
        <v>880</v>
      </c>
    </row>
    <row r="13" ht="16.5" spans="1:10">
      <c r="A13" s="27"/>
      <c r="B13" s="28"/>
      <c r="C13" s="28"/>
      <c r="D13" s="70"/>
      <c r="E13" s="28"/>
      <c r="F13" s="73"/>
      <c r="G13" s="42" t="s">
        <v>188</v>
      </c>
      <c r="H13" s="42">
        <f>8000*4</f>
        <v>32000</v>
      </c>
      <c r="I13" s="42">
        <v>0.042</v>
      </c>
      <c r="J13" s="42">
        <f t="shared" si="0"/>
        <v>1344</v>
      </c>
    </row>
    <row r="14" ht="16.5" spans="1:10">
      <c r="A14" s="27"/>
      <c r="B14" s="28"/>
      <c r="C14" s="28"/>
      <c r="D14" s="70"/>
      <c r="E14" s="28"/>
      <c r="F14" s="73"/>
      <c r="G14" s="42" t="s">
        <v>76</v>
      </c>
      <c r="H14" s="42">
        <v>5000</v>
      </c>
      <c r="I14" s="42">
        <v>1.07</v>
      </c>
      <c r="J14" s="42">
        <f t="shared" si="0"/>
        <v>5350</v>
      </c>
    </row>
    <row r="15" ht="16.5" spans="1:10">
      <c r="A15" s="27"/>
      <c r="B15" s="28"/>
      <c r="C15" s="28"/>
      <c r="D15" s="70"/>
      <c r="E15" s="28"/>
      <c r="F15" s="73"/>
      <c r="G15" s="42" t="s">
        <v>77</v>
      </c>
      <c r="H15" s="42">
        <f>H14*0.01</f>
        <v>50</v>
      </c>
      <c r="I15" s="42">
        <v>0</v>
      </c>
      <c r="J15" s="42">
        <f t="shared" si="0"/>
        <v>0</v>
      </c>
    </row>
    <row r="16" ht="16.5" spans="1:10">
      <c r="A16" s="27"/>
      <c r="B16" s="28"/>
      <c r="C16" s="28"/>
      <c r="D16" s="70"/>
      <c r="E16" s="28"/>
      <c r="F16" s="73"/>
      <c r="G16" s="42" t="s">
        <v>91</v>
      </c>
      <c r="H16" s="42">
        <v>5000</v>
      </c>
      <c r="I16" s="42">
        <v>0.28</v>
      </c>
      <c r="J16" s="42">
        <f t="shared" si="0"/>
        <v>1400</v>
      </c>
    </row>
    <row r="17" ht="16.5" spans="1:10">
      <c r="A17" s="27"/>
      <c r="B17" s="28"/>
      <c r="C17" s="28"/>
      <c r="D17" s="70"/>
      <c r="E17" s="28"/>
      <c r="F17" s="73"/>
      <c r="G17" s="42" t="s">
        <v>22</v>
      </c>
      <c r="H17" s="42">
        <v>5000</v>
      </c>
      <c r="I17" s="42">
        <v>0.11</v>
      </c>
      <c r="J17" s="42">
        <f t="shared" si="0"/>
        <v>550</v>
      </c>
    </row>
    <row r="18" ht="16.5" spans="1:10">
      <c r="A18" s="27"/>
      <c r="B18" s="28"/>
      <c r="C18" s="28"/>
      <c r="D18" s="70"/>
      <c r="E18" s="28"/>
      <c r="F18" s="73"/>
      <c r="G18" s="42" t="s">
        <v>188</v>
      </c>
      <c r="H18" s="42">
        <f>5000*4</f>
        <v>20000</v>
      </c>
      <c r="I18" s="42">
        <v>0.042</v>
      </c>
      <c r="J18" s="42">
        <f t="shared" si="0"/>
        <v>840</v>
      </c>
    </row>
    <row r="19" ht="16.5" spans="1:10">
      <c r="A19" s="27"/>
      <c r="B19" s="28"/>
      <c r="C19" s="28"/>
      <c r="D19" s="70"/>
      <c r="E19" s="28"/>
      <c r="F19" s="73"/>
      <c r="G19" s="42" t="s">
        <v>193</v>
      </c>
      <c r="H19" s="42">
        <v>43260</v>
      </c>
      <c r="I19" s="42">
        <v>0.33</v>
      </c>
      <c r="J19" s="42">
        <f t="shared" si="0"/>
        <v>14275.8</v>
      </c>
    </row>
    <row r="20" ht="16.5" spans="10:10">
      <c r="J20" s="78">
        <f>SUM(J3:J19)</f>
        <v>88220.6</v>
      </c>
    </row>
  </sheetData>
  <autoFilter xmlns:etc="http://www.wps.cn/officeDocument/2017/etCustomData" ref="A1:J20" etc:filterBottomFollowUsedRange="0">
    <extLst/>
  </autoFilter>
  <mergeCells count="13">
    <mergeCell ref="A1:J1"/>
    <mergeCell ref="A3:A8"/>
    <mergeCell ref="A9:A19"/>
    <mergeCell ref="B3:B8"/>
    <mergeCell ref="B9:B19"/>
    <mergeCell ref="C3:C8"/>
    <mergeCell ref="C9:C19"/>
    <mergeCell ref="D3:D8"/>
    <mergeCell ref="D9:D19"/>
    <mergeCell ref="E3:E8"/>
    <mergeCell ref="E9:E19"/>
    <mergeCell ref="F3:F8"/>
    <mergeCell ref="F9:F19"/>
  </mergeCells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5"/>
  <sheetViews>
    <sheetView workbookViewId="0">
      <selection activeCell="D23" sqref="D23:D29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3.6363636363636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customHeight="1" spans="1:10">
      <c r="A3" s="55">
        <v>45524</v>
      </c>
      <c r="B3" s="36" t="s">
        <v>39</v>
      </c>
      <c r="C3" s="28">
        <v>61802</v>
      </c>
      <c r="D3" s="56" t="s">
        <v>52</v>
      </c>
      <c r="E3" s="28" t="s">
        <v>53</v>
      </c>
      <c r="F3" s="47" t="s">
        <v>54</v>
      </c>
      <c r="G3" s="42" t="s">
        <v>37</v>
      </c>
      <c r="H3" s="42">
        <v>6000</v>
      </c>
      <c r="I3" s="74">
        <v>0.368</v>
      </c>
      <c r="J3" s="42">
        <f t="shared" ref="J3:J17" si="0">H3*I3</f>
        <v>2208</v>
      </c>
    </row>
    <row r="4" s="1" customFormat="1" ht="16.5" spans="1:10">
      <c r="A4" s="55"/>
      <c r="B4" s="36"/>
      <c r="C4" s="28"/>
      <c r="D4" s="56"/>
      <c r="E4" s="28"/>
      <c r="F4" s="47"/>
      <c r="G4" s="42" t="s">
        <v>38</v>
      </c>
      <c r="H4" s="42">
        <v>42000</v>
      </c>
      <c r="I4" s="75">
        <v>0.042</v>
      </c>
      <c r="J4" s="42">
        <f t="shared" si="0"/>
        <v>1764</v>
      </c>
    </row>
    <row r="5" s="1" customFormat="1" ht="16.5" spans="1:10">
      <c r="A5" s="55"/>
      <c r="B5" s="36"/>
      <c r="C5" s="28"/>
      <c r="D5" s="56"/>
      <c r="E5" s="28"/>
      <c r="F5" s="47"/>
      <c r="G5" s="42" t="s">
        <v>21</v>
      </c>
      <c r="H5" s="42">
        <v>6000</v>
      </c>
      <c r="I5" s="74">
        <v>0.294</v>
      </c>
      <c r="J5" s="42">
        <f t="shared" si="0"/>
        <v>1764</v>
      </c>
    </row>
    <row r="6" s="1" customFormat="1" ht="16.5" spans="1:10">
      <c r="A6" s="55"/>
      <c r="B6" s="36"/>
      <c r="C6" s="28"/>
      <c r="D6" s="56"/>
      <c r="E6" s="28"/>
      <c r="F6" s="47"/>
      <c r="G6" s="42" t="s">
        <v>22</v>
      </c>
      <c r="H6" s="42">
        <v>6000</v>
      </c>
      <c r="I6" s="74">
        <v>0.116</v>
      </c>
      <c r="J6" s="42">
        <f t="shared" si="0"/>
        <v>696</v>
      </c>
    </row>
    <row r="7" s="1" customFormat="1" ht="16.5" spans="1:10">
      <c r="A7" s="57">
        <v>45663</v>
      </c>
      <c r="B7" s="36" t="s">
        <v>39</v>
      </c>
      <c r="C7" s="28" t="s">
        <v>194</v>
      </c>
      <c r="D7" s="56" t="s">
        <v>195</v>
      </c>
      <c r="E7" s="27" t="s">
        <v>196</v>
      </c>
      <c r="F7" s="58" t="s">
        <v>197</v>
      </c>
      <c r="G7" s="31" t="s">
        <v>198</v>
      </c>
      <c r="H7" s="42">
        <v>8526</v>
      </c>
      <c r="I7" s="42">
        <v>0.35</v>
      </c>
      <c r="J7" s="42">
        <f t="shared" si="0"/>
        <v>2984.1</v>
      </c>
    </row>
    <row r="8" s="1" customFormat="1" ht="16.5" spans="1:10">
      <c r="A8" s="59"/>
      <c r="B8" s="36"/>
      <c r="C8" s="28"/>
      <c r="D8" s="56"/>
      <c r="E8" s="60"/>
      <c r="F8" s="58" t="s">
        <v>197</v>
      </c>
      <c r="G8" s="31" t="s">
        <v>64</v>
      </c>
      <c r="H8" s="42">
        <f>H7*5</f>
        <v>42630</v>
      </c>
      <c r="I8" s="42">
        <v>0.042</v>
      </c>
      <c r="J8" s="42">
        <f t="shared" si="0"/>
        <v>1790.46</v>
      </c>
    </row>
    <row r="9" s="1" customFormat="1" ht="16.5" spans="1:11">
      <c r="A9" s="59"/>
      <c r="B9" s="36"/>
      <c r="C9" s="28"/>
      <c r="D9" s="56"/>
      <c r="E9" s="60"/>
      <c r="F9" s="58" t="s">
        <v>197</v>
      </c>
      <c r="G9" s="31" t="s">
        <v>21</v>
      </c>
      <c r="H9" s="42">
        <v>8526</v>
      </c>
      <c r="I9" s="42">
        <v>0.28</v>
      </c>
      <c r="J9" s="42">
        <f t="shared" si="0"/>
        <v>2387.28</v>
      </c>
      <c r="K9" s="76"/>
    </row>
    <row r="10" s="1" customFormat="1" ht="16.5" spans="1:10">
      <c r="A10" s="61"/>
      <c r="B10" s="36"/>
      <c r="C10" s="28"/>
      <c r="D10" s="56"/>
      <c r="E10" s="60"/>
      <c r="F10" s="58"/>
      <c r="G10" s="31" t="s">
        <v>22</v>
      </c>
      <c r="H10" s="42">
        <v>8526</v>
      </c>
      <c r="I10" s="42">
        <v>0.11</v>
      </c>
      <c r="J10" s="42">
        <f t="shared" si="0"/>
        <v>937.86</v>
      </c>
    </row>
    <row r="11" s="1" customFormat="1" ht="16.5" spans="1:11">
      <c r="A11" s="60">
        <v>45679</v>
      </c>
      <c r="B11" s="36" t="s">
        <v>39</v>
      </c>
      <c r="C11" s="28" t="s">
        <v>43</v>
      </c>
      <c r="D11" s="29" t="s">
        <v>55</v>
      </c>
      <c r="E11" s="35" t="s">
        <v>43</v>
      </c>
      <c r="F11" s="35" t="s">
        <v>56</v>
      </c>
      <c r="G11" s="31" t="s">
        <v>57</v>
      </c>
      <c r="H11" s="31">
        <v>2000</v>
      </c>
      <c r="I11" s="31">
        <v>0.05</v>
      </c>
      <c r="J11" s="42">
        <f t="shared" si="0"/>
        <v>100</v>
      </c>
      <c r="K11" s="40"/>
    </row>
    <row r="12" s="1" customFormat="1" ht="16.5" spans="1:11">
      <c r="A12" s="27">
        <v>45700</v>
      </c>
      <c r="B12" s="28" t="s">
        <v>39</v>
      </c>
      <c r="C12" s="28" t="s">
        <v>199</v>
      </c>
      <c r="D12" s="29" t="s">
        <v>200</v>
      </c>
      <c r="E12" s="28" t="s">
        <v>201</v>
      </c>
      <c r="F12" s="30" t="s">
        <v>202</v>
      </c>
      <c r="G12" s="31" t="s">
        <v>83</v>
      </c>
      <c r="H12" s="32">
        <v>8782</v>
      </c>
      <c r="I12" s="36">
        <v>1.07</v>
      </c>
      <c r="J12" s="42">
        <f t="shared" si="0"/>
        <v>9396.74</v>
      </c>
      <c r="K12" s="40"/>
    </row>
    <row r="13" s="1" customFormat="1" ht="16.5" spans="1:11">
      <c r="A13" s="27"/>
      <c r="B13" s="28"/>
      <c r="C13" s="28"/>
      <c r="D13" s="29"/>
      <c r="E13" s="28"/>
      <c r="F13" s="33"/>
      <c r="G13" s="31" t="s">
        <v>77</v>
      </c>
      <c r="H13" s="32">
        <f>H15*0.01</f>
        <v>85.26</v>
      </c>
      <c r="I13" s="36">
        <v>0</v>
      </c>
      <c r="J13" s="42">
        <f t="shared" si="0"/>
        <v>0</v>
      </c>
      <c r="K13" s="40"/>
    </row>
    <row r="14" s="1" customFormat="1" ht="16.5" spans="1:11">
      <c r="A14" s="27"/>
      <c r="B14" s="28"/>
      <c r="C14" s="28"/>
      <c r="D14" s="29"/>
      <c r="E14" s="28"/>
      <c r="F14" s="34"/>
      <c r="G14" s="31" t="s">
        <v>203</v>
      </c>
      <c r="H14" s="32">
        <f>20+5+5</f>
        <v>30</v>
      </c>
      <c r="I14" s="36">
        <v>0</v>
      </c>
      <c r="J14" s="42">
        <f t="shared" si="0"/>
        <v>0</v>
      </c>
      <c r="K14" s="40"/>
    </row>
    <row r="15" s="1" customFormat="1" ht="16.5" spans="1:11">
      <c r="A15" s="27"/>
      <c r="B15" s="28"/>
      <c r="C15" s="28"/>
      <c r="D15" s="29"/>
      <c r="E15" s="28"/>
      <c r="F15" s="35" t="s">
        <v>204</v>
      </c>
      <c r="G15" s="31" t="s">
        <v>91</v>
      </c>
      <c r="H15" s="36">
        <f>3500+2500+2500+26</f>
        <v>8526</v>
      </c>
      <c r="I15" s="36">
        <v>0.28</v>
      </c>
      <c r="J15" s="42">
        <f t="shared" si="0"/>
        <v>2387.28</v>
      </c>
      <c r="K15" s="40"/>
    </row>
    <row r="16" s="1" customFormat="1" ht="16.5" spans="1:11">
      <c r="A16" s="27"/>
      <c r="B16" s="28"/>
      <c r="C16" s="28"/>
      <c r="D16" s="29"/>
      <c r="E16" s="28"/>
      <c r="F16" s="35" t="s">
        <v>204</v>
      </c>
      <c r="G16" s="31" t="s">
        <v>205</v>
      </c>
      <c r="H16" s="36">
        <f>250+175</f>
        <v>425</v>
      </c>
      <c r="I16" s="36">
        <v>0.042</v>
      </c>
      <c r="J16" s="42">
        <f t="shared" si="0"/>
        <v>17.85</v>
      </c>
      <c r="K16" s="40"/>
    </row>
    <row r="17" s="1" customFormat="1" ht="16.5" spans="1:11">
      <c r="A17" s="27">
        <v>45701</v>
      </c>
      <c r="B17" s="28" t="s">
        <v>39</v>
      </c>
      <c r="C17" s="62" t="s">
        <v>206</v>
      </c>
      <c r="D17" s="63" t="s">
        <v>207</v>
      </c>
      <c r="E17" s="62" t="s">
        <v>208</v>
      </c>
      <c r="F17" s="64" t="s">
        <v>209</v>
      </c>
      <c r="G17" s="42" t="s">
        <v>83</v>
      </c>
      <c r="H17" s="65">
        <f>6077+4223</f>
        <v>10300</v>
      </c>
      <c r="I17" s="65">
        <v>1.07</v>
      </c>
      <c r="J17" s="65">
        <f t="shared" si="0"/>
        <v>11021</v>
      </c>
      <c r="K17" s="40"/>
    </row>
    <row r="18" s="1" customFormat="1" ht="16.5" spans="1:11">
      <c r="A18" s="27"/>
      <c r="B18" s="28"/>
      <c r="C18" s="66"/>
      <c r="D18" s="63"/>
      <c r="E18" s="62"/>
      <c r="F18" s="67"/>
      <c r="G18" s="42" t="s">
        <v>77</v>
      </c>
      <c r="H18" s="65">
        <f>10000*0.01</f>
        <v>100</v>
      </c>
      <c r="I18" s="65">
        <v>0</v>
      </c>
      <c r="J18" s="65">
        <v>0</v>
      </c>
      <c r="K18" s="40"/>
    </row>
    <row r="19" s="1" customFormat="1" ht="16.5" spans="1:11">
      <c r="A19" s="27"/>
      <c r="B19" s="28"/>
      <c r="C19" s="66"/>
      <c r="D19" s="63"/>
      <c r="E19" s="62"/>
      <c r="F19" s="67"/>
      <c r="G19" s="42" t="s">
        <v>91</v>
      </c>
      <c r="H19" s="36">
        <f>2200+1000</f>
        <v>3200</v>
      </c>
      <c r="I19" s="36">
        <v>0.28</v>
      </c>
      <c r="J19" s="36">
        <f t="shared" ref="J19:J24" si="1">H19*I19</f>
        <v>896</v>
      </c>
      <c r="K19" s="40"/>
    </row>
    <row r="20" s="1" customFormat="1" ht="16.5" spans="1:11">
      <c r="A20" s="27"/>
      <c r="B20" s="28"/>
      <c r="C20" s="66"/>
      <c r="D20" s="63"/>
      <c r="E20" s="62"/>
      <c r="F20" s="67"/>
      <c r="G20" s="36" t="s">
        <v>22</v>
      </c>
      <c r="H20" s="36">
        <v>10000</v>
      </c>
      <c r="I20" s="36">
        <v>0.11</v>
      </c>
      <c r="J20" s="36">
        <f t="shared" si="1"/>
        <v>1100</v>
      </c>
      <c r="K20" s="40"/>
    </row>
    <row r="21" s="1" customFormat="1" ht="16.5" spans="1:11">
      <c r="A21" s="27"/>
      <c r="B21" s="28"/>
      <c r="C21" s="66"/>
      <c r="D21" s="63"/>
      <c r="E21" s="62"/>
      <c r="F21" s="68"/>
      <c r="G21" s="36" t="s">
        <v>64</v>
      </c>
      <c r="H21" s="36">
        <f>3200*5</f>
        <v>16000</v>
      </c>
      <c r="I21" s="36">
        <v>0.042</v>
      </c>
      <c r="J21" s="36">
        <f t="shared" si="1"/>
        <v>672</v>
      </c>
      <c r="K21" s="40"/>
    </row>
    <row r="22" s="1" customFormat="1" ht="16.5" spans="1:11">
      <c r="A22" s="27"/>
      <c r="B22" s="28"/>
      <c r="C22" s="66"/>
      <c r="D22" s="63"/>
      <c r="E22" s="62"/>
      <c r="F22" s="69" t="s">
        <v>192</v>
      </c>
      <c r="G22" s="42" t="s">
        <v>210</v>
      </c>
      <c r="H22" s="36">
        <v>1000</v>
      </c>
      <c r="I22" s="36">
        <v>0.24</v>
      </c>
      <c r="J22" s="36">
        <f t="shared" si="1"/>
        <v>240</v>
      </c>
      <c r="K22" s="40"/>
    </row>
    <row r="23" s="1" customFormat="1" ht="16.5" spans="1:11">
      <c r="A23" s="27">
        <v>45716</v>
      </c>
      <c r="B23" s="28" t="s">
        <v>39</v>
      </c>
      <c r="C23" s="28" t="s">
        <v>211</v>
      </c>
      <c r="D23" s="70" t="s">
        <v>212</v>
      </c>
      <c r="E23" s="28" t="s">
        <v>213</v>
      </c>
      <c r="F23" s="64" t="s">
        <v>214</v>
      </c>
      <c r="G23" s="42" t="s">
        <v>83</v>
      </c>
      <c r="H23" s="65">
        <v>3104</v>
      </c>
      <c r="I23" s="65">
        <v>1.07</v>
      </c>
      <c r="J23" s="65">
        <f t="shared" si="1"/>
        <v>3321.28</v>
      </c>
      <c r="K23"/>
    </row>
    <row r="24" ht="16.5" spans="1:10">
      <c r="A24" s="27"/>
      <c r="B24" s="28"/>
      <c r="C24" s="28"/>
      <c r="D24" s="70"/>
      <c r="E24" s="28"/>
      <c r="F24" s="67"/>
      <c r="G24" s="42" t="s">
        <v>77</v>
      </c>
      <c r="H24" s="65">
        <v>30</v>
      </c>
      <c r="I24" s="65">
        <v>0</v>
      </c>
      <c r="J24" s="65">
        <f t="shared" si="1"/>
        <v>0</v>
      </c>
    </row>
    <row r="25" ht="16.5" spans="1:10">
      <c r="A25" s="27"/>
      <c r="B25" s="28"/>
      <c r="C25" s="28"/>
      <c r="D25" s="70"/>
      <c r="E25" s="28"/>
      <c r="F25" s="67"/>
      <c r="G25" s="28" t="s">
        <v>203</v>
      </c>
      <c r="H25" s="65">
        <v>30</v>
      </c>
      <c r="I25" s="65">
        <v>0</v>
      </c>
      <c r="J25" s="65">
        <v>0</v>
      </c>
    </row>
    <row r="26" ht="16.5" spans="1:10">
      <c r="A26" s="27"/>
      <c r="B26" s="28"/>
      <c r="C26" s="28"/>
      <c r="D26" s="70"/>
      <c r="E26" s="28"/>
      <c r="F26" s="67"/>
      <c r="G26" s="42" t="s">
        <v>91</v>
      </c>
      <c r="H26" s="36">
        <v>1013</v>
      </c>
      <c r="I26" s="36">
        <v>0.28</v>
      </c>
      <c r="J26" s="65">
        <f>H26*I26</f>
        <v>283.64</v>
      </c>
    </row>
    <row r="27" ht="16.5" spans="1:10">
      <c r="A27" s="27"/>
      <c r="B27" s="28"/>
      <c r="C27" s="28"/>
      <c r="D27" s="70"/>
      <c r="E27" s="28"/>
      <c r="F27" s="67"/>
      <c r="G27" s="36" t="s">
        <v>22</v>
      </c>
      <c r="H27" s="65">
        <f>1500+13+1000+500</f>
        <v>3013</v>
      </c>
      <c r="I27" s="36">
        <v>0.11</v>
      </c>
      <c r="J27" s="65">
        <f>H27*I27</f>
        <v>331.43</v>
      </c>
    </row>
    <row r="28" ht="16.5" spans="1:10">
      <c r="A28" s="27"/>
      <c r="B28" s="28"/>
      <c r="C28" s="28"/>
      <c r="D28" s="70"/>
      <c r="E28" s="28"/>
      <c r="F28" s="67"/>
      <c r="G28" s="42" t="s">
        <v>210</v>
      </c>
      <c r="H28" s="36">
        <f>1500+500</f>
        <v>2000</v>
      </c>
      <c r="I28" s="36">
        <v>0.24</v>
      </c>
      <c r="J28" s="65">
        <f>H28*I28</f>
        <v>480</v>
      </c>
    </row>
    <row r="29" ht="16.5" spans="1:10">
      <c r="A29" s="27"/>
      <c r="B29" s="28"/>
      <c r="C29" s="28"/>
      <c r="D29" s="70"/>
      <c r="E29" s="28"/>
      <c r="F29" s="68"/>
      <c r="G29" s="36" t="s">
        <v>64</v>
      </c>
      <c r="H29" s="36">
        <f>3013*5</f>
        <v>15065</v>
      </c>
      <c r="I29" s="36">
        <v>0.042</v>
      </c>
      <c r="J29" s="65">
        <f>H29*I29</f>
        <v>632.73</v>
      </c>
    </row>
    <row r="30" ht="16.5" spans="1:10">
      <c r="A30" s="27">
        <v>45724</v>
      </c>
      <c r="B30" s="28" t="s">
        <v>39</v>
      </c>
      <c r="C30" s="28" t="s">
        <v>43</v>
      </c>
      <c r="D30" s="70" t="s">
        <v>215</v>
      </c>
      <c r="E30" s="28" t="s">
        <v>216</v>
      </c>
      <c r="F30" s="64" t="s">
        <v>217</v>
      </c>
      <c r="G30" s="42" t="s">
        <v>76</v>
      </c>
      <c r="H30" s="71">
        <f>1402+2438+3049+2202+1210</f>
        <v>10301</v>
      </c>
      <c r="I30" s="65">
        <v>1.07</v>
      </c>
      <c r="J30" s="65">
        <f>H30*I30</f>
        <v>11022.07</v>
      </c>
    </row>
    <row r="31" ht="16.5" spans="1:10">
      <c r="A31" s="27"/>
      <c r="B31" s="28"/>
      <c r="C31" s="28"/>
      <c r="D31" s="70"/>
      <c r="E31" s="28"/>
      <c r="F31" s="67"/>
      <c r="G31" s="42" t="s">
        <v>77</v>
      </c>
      <c r="H31" s="71">
        <v>103</v>
      </c>
      <c r="I31" s="65">
        <v>0</v>
      </c>
      <c r="J31" s="65">
        <v>0</v>
      </c>
    </row>
    <row r="32" ht="16.5" spans="1:10">
      <c r="A32" s="27"/>
      <c r="B32" s="28"/>
      <c r="C32" s="28"/>
      <c r="D32" s="70"/>
      <c r="E32" s="28"/>
      <c r="F32" s="67"/>
      <c r="G32" s="42" t="s">
        <v>91</v>
      </c>
      <c r="H32" s="36">
        <f>589+1009+1220+883+505+773+1358+1740+1255+669</f>
        <v>10001</v>
      </c>
      <c r="I32" s="36">
        <v>0.28</v>
      </c>
      <c r="J32" s="36">
        <f t="shared" ref="J32:J41" si="2">H32*I32</f>
        <v>2800.28</v>
      </c>
    </row>
    <row r="33" ht="16.5" spans="1:10">
      <c r="A33" s="27"/>
      <c r="B33" s="28"/>
      <c r="C33" s="28"/>
      <c r="D33" s="70"/>
      <c r="E33" s="28"/>
      <c r="F33" s="67"/>
      <c r="G33" s="36" t="s">
        <v>22</v>
      </c>
      <c r="H33" s="42">
        <f>1362+2367+2960+2138+1174</f>
        <v>10001</v>
      </c>
      <c r="I33" s="36">
        <v>0.11</v>
      </c>
      <c r="J33" s="36">
        <f t="shared" si="2"/>
        <v>1100.11</v>
      </c>
    </row>
    <row r="34" ht="16.5" spans="1:10">
      <c r="A34" s="27"/>
      <c r="B34" s="28"/>
      <c r="C34" s="28"/>
      <c r="D34" s="70"/>
      <c r="E34" s="28"/>
      <c r="F34" s="68"/>
      <c r="G34" s="36" t="s">
        <v>64</v>
      </c>
      <c r="H34" s="36">
        <f>10001*5</f>
        <v>50005</v>
      </c>
      <c r="I34" s="36">
        <v>0.042</v>
      </c>
      <c r="J34" s="36">
        <f t="shared" si="2"/>
        <v>2100.21</v>
      </c>
    </row>
    <row r="35" ht="16.5" spans="1:10">
      <c r="A35" s="27">
        <v>45730</v>
      </c>
      <c r="B35" s="28" t="s">
        <v>182</v>
      </c>
      <c r="C35" s="28" t="s">
        <v>183</v>
      </c>
      <c r="D35" s="70" t="s">
        <v>184</v>
      </c>
      <c r="E35" s="28" t="s">
        <v>185</v>
      </c>
      <c r="F35" s="64" t="s">
        <v>186</v>
      </c>
      <c r="G35" s="42" t="s">
        <v>187</v>
      </c>
      <c r="H35" s="71">
        <f>32000*1.02</f>
        <v>32640</v>
      </c>
      <c r="I35" s="65">
        <v>1.07</v>
      </c>
      <c r="J35" s="65">
        <f t="shared" si="2"/>
        <v>34924.8</v>
      </c>
    </row>
    <row r="36" ht="16.5" spans="1:10">
      <c r="A36" s="27"/>
      <c r="B36" s="28"/>
      <c r="C36" s="28"/>
      <c r="D36" s="70"/>
      <c r="E36" s="28"/>
      <c r="F36" s="67"/>
      <c r="G36" s="42" t="s">
        <v>77</v>
      </c>
      <c r="H36" s="71">
        <v>320</v>
      </c>
      <c r="I36" s="65">
        <v>0</v>
      </c>
      <c r="J36" s="65">
        <f t="shared" si="2"/>
        <v>0</v>
      </c>
    </row>
    <row r="37" ht="16.5" spans="1:10">
      <c r="A37" s="27"/>
      <c r="B37" s="28"/>
      <c r="C37" s="28"/>
      <c r="D37" s="70"/>
      <c r="E37" s="28"/>
      <c r="F37" s="67"/>
      <c r="G37" s="28" t="s">
        <v>103</v>
      </c>
      <c r="H37" s="71">
        <f>2*5*5+5</f>
        <v>55</v>
      </c>
      <c r="I37" s="65">
        <v>0</v>
      </c>
      <c r="J37" s="65">
        <f t="shared" si="2"/>
        <v>0</v>
      </c>
    </row>
    <row r="38" ht="16.5" spans="1:10">
      <c r="A38" s="27"/>
      <c r="B38" s="28"/>
      <c r="C38" s="28"/>
      <c r="D38" s="70"/>
      <c r="E38" s="28"/>
      <c r="F38" s="67"/>
      <c r="G38" s="42" t="s">
        <v>91</v>
      </c>
      <c r="H38" s="71">
        <f>8000+8000+8000+8000</f>
        <v>32000</v>
      </c>
      <c r="I38" s="36">
        <v>0.28</v>
      </c>
      <c r="J38" s="65">
        <f t="shared" si="2"/>
        <v>8960</v>
      </c>
    </row>
    <row r="39" ht="16.5" spans="1:10">
      <c r="A39" s="27"/>
      <c r="B39" s="28"/>
      <c r="C39" s="28"/>
      <c r="D39" s="70"/>
      <c r="E39" s="28"/>
      <c r="F39" s="67"/>
      <c r="G39" s="36" t="s">
        <v>22</v>
      </c>
      <c r="H39" s="71">
        <f>8000+8000+8000+8000</f>
        <v>32000</v>
      </c>
      <c r="I39" s="36">
        <v>0.11</v>
      </c>
      <c r="J39" s="65">
        <f t="shared" si="2"/>
        <v>3520</v>
      </c>
    </row>
    <row r="40" ht="16.5" spans="1:10">
      <c r="A40" s="27"/>
      <c r="B40" s="28"/>
      <c r="C40" s="28"/>
      <c r="D40" s="70"/>
      <c r="E40" s="28"/>
      <c r="F40" s="68"/>
      <c r="G40" s="36" t="s">
        <v>188</v>
      </c>
      <c r="H40" s="36">
        <f>32000*4</f>
        <v>128000</v>
      </c>
      <c r="I40" s="36">
        <v>0.042</v>
      </c>
      <c r="J40" s="36">
        <f t="shared" si="2"/>
        <v>5376</v>
      </c>
    </row>
    <row r="41" ht="16.5" spans="1:10">
      <c r="A41" s="27">
        <v>45733</v>
      </c>
      <c r="B41" s="28" t="s">
        <v>39</v>
      </c>
      <c r="C41" s="28" t="s">
        <v>43</v>
      </c>
      <c r="D41" s="70" t="s">
        <v>218</v>
      </c>
      <c r="E41" s="28" t="s">
        <v>219</v>
      </c>
      <c r="F41" s="64" t="s">
        <v>214</v>
      </c>
      <c r="G41" s="42" t="s">
        <v>220</v>
      </c>
      <c r="H41" s="71">
        <f>1414+2424+2929+2121+1212</f>
        <v>10100</v>
      </c>
      <c r="I41" s="65">
        <v>1.07</v>
      </c>
      <c r="J41" s="65">
        <f t="shared" si="2"/>
        <v>10807</v>
      </c>
    </row>
    <row r="42" ht="16.5" spans="1:10">
      <c r="A42" s="27"/>
      <c r="B42" s="28"/>
      <c r="C42" s="28"/>
      <c r="D42" s="70"/>
      <c r="E42" s="28"/>
      <c r="F42" s="67"/>
      <c r="G42" s="42" t="s">
        <v>77</v>
      </c>
      <c r="H42" s="71">
        <f>10000*0.01</f>
        <v>100</v>
      </c>
      <c r="I42" s="65">
        <v>0</v>
      </c>
      <c r="J42" s="65">
        <v>0</v>
      </c>
    </row>
    <row r="43" ht="16.5" spans="1:10">
      <c r="A43" s="27"/>
      <c r="B43" s="28"/>
      <c r="C43" s="28"/>
      <c r="D43" s="70"/>
      <c r="E43" s="28"/>
      <c r="F43" s="67"/>
      <c r="G43" s="42" t="s">
        <v>221</v>
      </c>
      <c r="H43" s="71">
        <f>1442+2472+2987+2163+1236-10100</f>
        <v>200</v>
      </c>
      <c r="I43" s="65">
        <v>1.07</v>
      </c>
      <c r="J43" s="65">
        <f t="shared" ref="J43:J74" si="3">H43*I43</f>
        <v>214</v>
      </c>
    </row>
    <row r="44" ht="16.5" spans="1:10">
      <c r="A44" s="27"/>
      <c r="B44" s="28"/>
      <c r="C44" s="28"/>
      <c r="D44" s="70"/>
      <c r="E44" s="28"/>
      <c r="F44" s="67"/>
      <c r="G44" s="42" t="s">
        <v>91</v>
      </c>
      <c r="H44" s="42">
        <f>840+1440+1740+1260+720+560+960+1160+840+480</f>
        <v>10000</v>
      </c>
      <c r="I44" s="36">
        <v>0.28</v>
      </c>
      <c r="J44" s="36">
        <f t="shared" si="3"/>
        <v>2800</v>
      </c>
    </row>
    <row r="45" ht="16.5" spans="1:10">
      <c r="A45" s="27"/>
      <c r="B45" s="28"/>
      <c r="C45" s="28"/>
      <c r="D45" s="70"/>
      <c r="E45" s="28"/>
      <c r="F45" s="67"/>
      <c r="G45" s="36" t="s">
        <v>22</v>
      </c>
      <c r="H45" s="42">
        <f>1400+2400+2900+2100+1200</f>
        <v>10000</v>
      </c>
      <c r="I45" s="36">
        <v>0.11</v>
      </c>
      <c r="J45" s="36">
        <f t="shared" si="3"/>
        <v>1100</v>
      </c>
    </row>
    <row r="46" ht="16.5" spans="1:10">
      <c r="A46" s="27"/>
      <c r="B46" s="28"/>
      <c r="C46" s="28"/>
      <c r="D46" s="70"/>
      <c r="E46" s="28"/>
      <c r="F46" s="68"/>
      <c r="G46" s="36" t="s">
        <v>64</v>
      </c>
      <c r="H46" s="36">
        <f>10000*5</f>
        <v>50000</v>
      </c>
      <c r="I46" s="36">
        <v>0.042</v>
      </c>
      <c r="J46" s="36">
        <f t="shared" si="3"/>
        <v>2100</v>
      </c>
    </row>
    <row r="47" ht="16.5" spans="1:10">
      <c r="A47" s="27">
        <v>45734</v>
      </c>
      <c r="B47" s="28" t="s">
        <v>39</v>
      </c>
      <c r="C47" s="28" t="s">
        <v>222</v>
      </c>
      <c r="D47" s="70" t="s">
        <v>223</v>
      </c>
      <c r="E47" s="28" t="s">
        <v>224</v>
      </c>
      <c r="F47" s="64" t="s">
        <v>214</v>
      </c>
      <c r="G47" s="42" t="s">
        <v>83</v>
      </c>
      <c r="H47" s="72">
        <v>9283</v>
      </c>
      <c r="I47" s="65">
        <v>1.07</v>
      </c>
      <c r="J47" s="65">
        <f t="shared" si="3"/>
        <v>9932.81</v>
      </c>
    </row>
    <row r="48" ht="16.5" spans="1:10">
      <c r="A48" s="27"/>
      <c r="B48" s="28"/>
      <c r="C48" s="28"/>
      <c r="D48" s="70"/>
      <c r="E48" s="28"/>
      <c r="F48" s="67"/>
      <c r="G48" s="42" t="s">
        <v>77</v>
      </c>
      <c r="H48" s="71">
        <v>90</v>
      </c>
      <c r="I48" s="65">
        <v>0</v>
      </c>
      <c r="J48" s="65">
        <f t="shared" si="3"/>
        <v>0</v>
      </c>
    </row>
    <row r="49" ht="16.5" spans="1:10">
      <c r="A49" s="27"/>
      <c r="B49" s="28"/>
      <c r="C49" s="28"/>
      <c r="D49" s="70"/>
      <c r="E49" s="28"/>
      <c r="F49" s="67"/>
      <c r="G49" s="28" t="s">
        <v>103</v>
      </c>
      <c r="H49" s="71">
        <f>4*5+5</f>
        <v>25</v>
      </c>
      <c r="I49" s="65">
        <v>0</v>
      </c>
      <c r="J49" s="65">
        <f t="shared" si="3"/>
        <v>0</v>
      </c>
    </row>
    <row r="50" ht="16.5" spans="1:10">
      <c r="A50" s="27"/>
      <c r="B50" s="28"/>
      <c r="C50" s="28"/>
      <c r="D50" s="70"/>
      <c r="E50" s="28"/>
      <c r="F50" s="67"/>
      <c r="G50" s="42" t="s">
        <v>91</v>
      </c>
      <c r="H50" s="71">
        <f>3000+3000+3000+13</f>
        <v>9013</v>
      </c>
      <c r="I50" s="36">
        <v>0.28</v>
      </c>
      <c r="J50" s="65">
        <f t="shared" si="3"/>
        <v>2523.64</v>
      </c>
    </row>
    <row r="51" ht="16.5" spans="1:10">
      <c r="A51" s="27"/>
      <c r="B51" s="28"/>
      <c r="C51" s="28"/>
      <c r="D51" s="70"/>
      <c r="E51" s="28"/>
      <c r="F51" s="67"/>
      <c r="G51" s="36" t="s">
        <v>22</v>
      </c>
      <c r="H51" s="71">
        <f>3000+3000+3000+13</f>
        <v>9013</v>
      </c>
      <c r="I51" s="36">
        <v>0.11</v>
      </c>
      <c r="J51" s="65">
        <f t="shared" si="3"/>
        <v>991.43</v>
      </c>
    </row>
    <row r="52" ht="16.5" spans="1:10">
      <c r="A52" s="27"/>
      <c r="B52" s="28"/>
      <c r="C52" s="28"/>
      <c r="D52" s="70"/>
      <c r="E52" s="28"/>
      <c r="F52" s="68"/>
      <c r="G52" s="36" t="s">
        <v>64</v>
      </c>
      <c r="H52" s="36">
        <f>9013*5</f>
        <v>45065</v>
      </c>
      <c r="I52" s="36">
        <v>0.042</v>
      </c>
      <c r="J52" s="36">
        <f t="shared" si="3"/>
        <v>1892.73</v>
      </c>
    </row>
    <row r="53" ht="16.5" spans="1:10">
      <c r="A53" s="27">
        <v>45738</v>
      </c>
      <c r="B53" s="28" t="s">
        <v>39</v>
      </c>
      <c r="C53" s="28" t="s">
        <v>225</v>
      </c>
      <c r="D53" s="70" t="s">
        <v>226</v>
      </c>
      <c r="E53" s="28" t="s">
        <v>227</v>
      </c>
      <c r="F53" s="64" t="s">
        <v>214</v>
      </c>
      <c r="G53" s="42" t="s">
        <v>83</v>
      </c>
      <c r="H53" s="65">
        <f>999+2338+4573+3203+1246</f>
        <v>12359</v>
      </c>
      <c r="I53" s="65">
        <v>1.07</v>
      </c>
      <c r="J53" s="65">
        <f t="shared" si="3"/>
        <v>13224.13</v>
      </c>
    </row>
    <row r="54" ht="16.5" spans="1:10">
      <c r="A54" s="27"/>
      <c r="B54" s="28"/>
      <c r="C54" s="28"/>
      <c r="D54" s="70"/>
      <c r="E54" s="28"/>
      <c r="F54" s="67"/>
      <c r="G54" s="42" t="s">
        <v>77</v>
      </c>
      <c r="H54" s="65">
        <f>12000*0.01</f>
        <v>120</v>
      </c>
      <c r="I54" s="65">
        <v>0</v>
      </c>
      <c r="J54" s="65">
        <f t="shared" si="3"/>
        <v>0</v>
      </c>
    </row>
    <row r="55" ht="16.5" spans="1:10">
      <c r="A55" s="27"/>
      <c r="B55" s="28"/>
      <c r="C55" s="28"/>
      <c r="D55" s="70"/>
      <c r="E55" s="28"/>
      <c r="F55" s="67"/>
      <c r="G55" s="42" t="s">
        <v>91</v>
      </c>
      <c r="H55" s="36">
        <v>2900</v>
      </c>
      <c r="I55" s="36">
        <v>0.28</v>
      </c>
      <c r="J55" s="65">
        <f t="shared" si="3"/>
        <v>812</v>
      </c>
    </row>
    <row r="56" ht="16.5" spans="1:10">
      <c r="A56" s="27"/>
      <c r="B56" s="28"/>
      <c r="C56" s="28"/>
      <c r="D56" s="70"/>
      <c r="E56" s="28"/>
      <c r="F56" s="67"/>
      <c r="G56" s="36" t="s">
        <v>22</v>
      </c>
      <c r="H56" s="36">
        <f>2900+2000</f>
        <v>4900</v>
      </c>
      <c r="I56" s="36">
        <v>0.11</v>
      </c>
      <c r="J56" s="65">
        <f t="shared" si="3"/>
        <v>539</v>
      </c>
    </row>
    <row r="57" ht="16.5" spans="1:10">
      <c r="A57" s="27"/>
      <c r="B57" s="28"/>
      <c r="C57" s="28"/>
      <c r="D57" s="70"/>
      <c r="E57" s="28"/>
      <c r="F57" s="67"/>
      <c r="G57" s="42" t="s">
        <v>210</v>
      </c>
      <c r="H57" s="36">
        <v>2000</v>
      </c>
      <c r="I57" s="36">
        <v>0.24</v>
      </c>
      <c r="J57" s="65">
        <f t="shared" si="3"/>
        <v>480</v>
      </c>
    </row>
    <row r="58" ht="16.5" spans="1:10">
      <c r="A58" s="27"/>
      <c r="B58" s="28"/>
      <c r="C58" s="28"/>
      <c r="D58" s="70"/>
      <c r="E58" s="28"/>
      <c r="F58" s="68"/>
      <c r="G58" s="36" t="s">
        <v>64</v>
      </c>
      <c r="H58" s="36">
        <f>12000*5</f>
        <v>60000</v>
      </c>
      <c r="I58" s="36">
        <v>0.042</v>
      </c>
      <c r="J58" s="36">
        <f t="shared" si="3"/>
        <v>2520</v>
      </c>
    </row>
    <row r="59" ht="16.5" spans="1:10">
      <c r="A59" s="27">
        <v>45742</v>
      </c>
      <c r="B59" s="28" t="s">
        <v>228</v>
      </c>
      <c r="C59" s="28" t="s">
        <v>189</v>
      </c>
      <c r="D59" s="70" t="s">
        <v>190</v>
      </c>
      <c r="E59" s="28" t="s">
        <v>191</v>
      </c>
      <c r="F59" s="73" t="s">
        <v>192</v>
      </c>
      <c r="G59" s="42" t="s">
        <v>76</v>
      </c>
      <c r="H59" s="42">
        <v>8000</v>
      </c>
      <c r="I59" s="42">
        <v>1.07</v>
      </c>
      <c r="J59" s="42">
        <f t="shared" si="3"/>
        <v>8560</v>
      </c>
    </row>
    <row r="60" ht="16.5" spans="1:10">
      <c r="A60" s="27"/>
      <c r="B60" s="28"/>
      <c r="C60" s="28"/>
      <c r="D60" s="70"/>
      <c r="E60" s="28"/>
      <c r="F60" s="73"/>
      <c r="G60" s="42" t="s">
        <v>77</v>
      </c>
      <c r="H60" s="42">
        <f>H59*0.01</f>
        <v>80</v>
      </c>
      <c r="I60" s="42">
        <v>0</v>
      </c>
      <c r="J60" s="42">
        <f t="shared" si="3"/>
        <v>0</v>
      </c>
    </row>
    <row r="61" ht="16.5" spans="1:10">
      <c r="A61" s="27"/>
      <c r="B61" s="28"/>
      <c r="C61" s="28"/>
      <c r="D61" s="70"/>
      <c r="E61" s="28"/>
      <c r="F61" s="73"/>
      <c r="G61" s="42" t="s">
        <v>91</v>
      </c>
      <c r="H61" s="42">
        <v>8000</v>
      </c>
      <c r="I61" s="42">
        <v>0.28</v>
      </c>
      <c r="J61" s="42">
        <f t="shared" si="3"/>
        <v>2240</v>
      </c>
    </row>
    <row r="62" ht="16.5" spans="1:10">
      <c r="A62" s="27"/>
      <c r="B62" s="28"/>
      <c r="C62" s="28"/>
      <c r="D62" s="70"/>
      <c r="E62" s="28"/>
      <c r="F62" s="73"/>
      <c r="G62" s="42" t="s">
        <v>22</v>
      </c>
      <c r="H62" s="42">
        <v>8000</v>
      </c>
      <c r="I62" s="42">
        <v>0.11</v>
      </c>
      <c r="J62" s="42">
        <f t="shared" si="3"/>
        <v>880</v>
      </c>
    </row>
    <row r="63" ht="16.5" spans="1:10">
      <c r="A63" s="27"/>
      <c r="B63" s="28"/>
      <c r="C63" s="28"/>
      <c r="D63" s="70"/>
      <c r="E63" s="28"/>
      <c r="F63" s="73"/>
      <c r="G63" s="42" t="s">
        <v>188</v>
      </c>
      <c r="H63" s="42">
        <f>8000*4</f>
        <v>32000</v>
      </c>
      <c r="I63" s="42">
        <v>0.042</v>
      </c>
      <c r="J63" s="42">
        <f t="shared" si="3"/>
        <v>1344</v>
      </c>
    </row>
    <row r="64" ht="16.5" spans="1:10">
      <c r="A64" s="27"/>
      <c r="B64" s="28"/>
      <c r="C64" s="28"/>
      <c r="D64" s="70"/>
      <c r="E64" s="28"/>
      <c r="F64" s="73"/>
      <c r="G64" s="42" t="s">
        <v>76</v>
      </c>
      <c r="H64" s="42">
        <v>5000</v>
      </c>
      <c r="I64" s="42">
        <v>1.07</v>
      </c>
      <c r="J64" s="42">
        <f t="shared" si="3"/>
        <v>5350</v>
      </c>
    </row>
    <row r="65" ht="16.5" spans="1:10">
      <c r="A65" s="27"/>
      <c r="B65" s="28"/>
      <c r="C65" s="28"/>
      <c r="D65" s="70"/>
      <c r="E65" s="28"/>
      <c r="F65" s="73"/>
      <c r="G65" s="42" t="s">
        <v>77</v>
      </c>
      <c r="H65" s="42">
        <f>H64*0.01</f>
        <v>50</v>
      </c>
      <c r="I65" s="42">
        <v>0</v>
      </c>
      <c r="J65" s="42">
        <f t="shared" si="3"/>
        <v>0</v>
      </c>
    </row>
    <row r="66" ht="16.5" spans="1:10">
      <c r="A66" s="27"/>
      <c r="B66" s="28"/>
      <c r="C66" s="28"/>
      <c r="D66" s="70"/>
      <c r="E66" s="28"/>
      <c r="F66" s="73"/>
      <c r="G66" s="42" t="s">
        <v>91</v>
      </c>
      <c r="H66" s="42">
        <v>5000</v>
      </c>
      <c r="I66" s="42">
        <v>0.28</v>
      </c>
      <c r="J66" s="42">
        <f t="shared" si="3"/>
        <v>1400</v>
      </c>
    </row>
    <row r="67" ht="16.5" spans="1:10">
      <c r="A67" s="27"/>
      <c r="B67" s="28"/>
      <c r="C67" s="28"/>
      <c r="D67" s="70"/>
      <c r="E67" s="28"/>
      <c r="F67" s="73"/>
      <c r="G67" s="42" t="s">
        <v>22</v>
      </c>
      <c r="H67" s="42">
        <v>5000</v>
      </c>
      <c r="I67" s="42">
        <v>0.11</v>
      </c>
      <c r="J67" s="42">
        <f t="shared" si="3"/>
        <v>550</v>
      </c>
    </row>
    <row r="68" ht="16.5" spans="1:10">
      <c r="A68" s="27"/>
      <c r="B68" s="28"/>
      <c r="C68" s="28"/>
      <c r="D68" s="70"/>
      <c r="E68" s="28"/>
      <c r="F68" s="73"/>
      <c r="G68" s="42" t="s">
        <v>188</v>
      </c>
      <c r="H68" s="42">
        <f>5000*4</f>
        <v>20000</v>
      </c>
      <c r="I68" s="42">
        <v>0.042</v>
      </c>
      <c r="J68" s="42">
        <f t="shared" si="3"/>
        <v>840</v>
      </c>
    </row>
    <row r="69" ht="16.5" spans="1:10">
      <c r="A69" s="27"/>
      <c r="B69" s="28"/>
      <c r="C69" s="28"/>
      <c r="D69" s="70"/>
      <c r="E69" s="28"/>
      <c r="F69" s="73"/>
      <c r="G69" s="42" t="s">
        <v>193</v>
      </c>
      <c r="H69" s="42">
        <v>43260</v>
      </c>
      <c r="I69" s="42">
        <v>0.33</v>
      </c>
      <c r="J69" s="42">
        <f t="shared" si="3"/>
        <v>14275.8</v>
      </c>
    </row>
    <row r="70" ht="16.5" spans="1:10">
      <c r="A70" s="27">
        <v>45761</v>
      </c>
      <c r="B70" s="28" t="s">
        <v>228</v>
      </c>
      <c r="C70" s="28" t="s">
        <v>229</v>
      </c>
      <c r="D70" s="70" t="s">
        <v>230</v>
      </c>
      <c r="E70" s="28" t="s">
        <v>231</v>
      </c>
      <c r="F70" s="64" t="s">
        <v>232</v>
      </c>
      <c r="G70" s="36" t="s">
        <v>22</v>
      </c>
      <c r="H70" s="77">
        <f>38000*0.01</f>
        <v>380</v>
      </c>
      <c r="I70" s="36">
        <v>0.11</v>
      </c>
      <c r="J70" s="36">
        <f t="shared" si="3"/>
        <v>41.8</v>
      </c>
    </row>
    <row r="71" ht="16.5" spans="1:10">
      <c r="A71" s="27"/>
      <c r="B71" s="28"/>
      <c r="C71" s="28"/>
      <c r="D71" s="70"/>
      <c r="E71" s="28"/>
      <c r="F71" s="67"/>
      <c r="G71" s="42" t="s">
        <v>233</v>
      </c>
      <c r="H71" s="77">
        <f>38000*0.01*4</f>
        <v>1520</v>
      </c>
      <c r="I71" s="36">
        <v>0.042</v>
      </c>
      <c r="J71" s="36">
        <f t="shared" si="3"/>
        <v>63.84</v>
      </c>
    </row>
    <row r="72" ht="16.5" spans="1:10">
      <c r="A72" s="27"/>
      <c r="B72" s="28"/>
      <c r="C72" s="28"/>
      <c r="D72" s="70"/>
      <c r="E72" s="28"/>
      <c r="F72" s="67"/>
      <c r="G72" s="36" t="s">
        <v>234</v>
      </c>
      <c r="H72" s="77">
        <v>1935</v>
      </c>
      <c r="I72" s="36">
        <v>0.85</v>
      </c>
      <c r="J72" s="36">
        <f t="shared" si="3"/>
        <v>1644.75</v>
      </c>
    </row>
    <row r="73" ht="16.5" spans="1:10">
      <c r="A73" s="27"/>
      <c r="B73" s="28"/>
      <c r="C73" s="28"/>
      <c r="D73" s="70"/>
      <c r="E73" s="28"/>
      <c r="F73" s="67"/>
      <c r="G73" s="36" t="s">
        <v>235</v>
      </c>
      <c r="H73" s="42">
        <v>19</v>
      </c>
      <c r="I73" s="36">
        <v>0</v>
      </c>
      <c r="J73" s="36">
        <f t="shared" si="3"/>
        <v>0</v>
      </c>
    </row>
    <row r="74" ht="16.5" spans="1:10">
      <c r="A74" s="27"/>
      <c r="B74" s="28"/>
      <c r="C74" s="28"/>
      <c r="D74" s="70"/>
      <c r="E74" s="28"/>
      <c r="F74" s="68"/>
      <c r="G74" s="42" t="s">
        <v>236</v>
      </c>
      <c r="H74" s="77">
        <f>48+105+135+90+45</f>
        <v>423</v>
      </c>
      <c r="I74" s="36">
        <v>0.15</v>
      </c>
      <c r="J74" s="36">
        <f t="shared" si="3"/>
        <v>63.45</v>
      </c>
    </row>
    <row r="75" ht="16.5" spans="10:10">
      <c r="J75" s="78">
        <f>SUM(J3:J74)</f>
        <v>202405.5</v>
      </c>
    </row>
  </sheetData>
  <autoFilter xmlns:etc="http://www.wps.cn/officeDocument/2017/etCustomData" ref="A1:J75" etc:filterBottomFollowUsedRange="0">
    <extLst/>
  </autoFilter>
  <mergeCells count="73">
    <mergeCell ref="A1:J1"/>
    <mergeCell ref="A3:A6"/>
    <mergeCell ref="A7:A10"/>
    <mergeCell ref="A12:A16"/>
    <mergeCell ref="A17:A22"/>
    <mergeCell ref="A23:A29"/>
    <mergeCell ref="A30:A34"/>
    <mergeCell ref="A35:A40"/>
    <mergeCell ref="A41:A46"/>
    <mergeCell ref="A47:A52"/>
    <mergeCell ref="A53:A58"/>
    <mergeCell ref="A59:A69"/>
    <mergeCell ref="A70:A74"/>
    <mergeCell ref="B3:B6"/>
    <mergeCell ref="B7:B10"/>
    <mergeCell ref="B12:B16"/>
    <mergeCell ref="B17:B22"/>
    <mergeCell ref="B23:B29"/>
    <mergeCell ref="B30:B34"/>
    <mergeCell ref="B35:B40"/>
    <mergeCell ref="B41:B46"/>
    <mergeCell ref="B47:B52"/>
    <mergeCell ref="B53:B58"/>
    <mergeCell ref="B59:B69"/>
    <mergeCell ref="B70:B74"/>
    <mergeCell ref="C3:C6"/>
    <mergeCell ref="C7:C10"/>
    <mergeCell ref="C12:C16"/>
    <mergeCell ref="C17:C22"/>
    <mergeCell ref="C23:C29"/>
    <mergeCell ref="C30:C34"/>
    <mergeCell ref="C35:C40"/>
    <mergeCell ref="C41:C46"/>
    <mergeCell ref="C47:C52"/>
    <mergeCell ref="C53:C58"/>
    <mergeCell ref="C59:C69"/>
    <mergeCell ref="C70:C74"/>
    <mergeCell ref="D3:D6"/>
    <mergeCell ref="D7:D10"/>
    <mergeCell ref="D12:D16"/>
    <mergeCell ref="D17:D22"/>
    <mergeCell ref="D23:D29"/>
    <mergeCell ref="D30:D34"/>
    <mergeCell ref="D35:D40"/>
    <mergeCell ref="D41:D46"/>
    <mergeCell ref="D47:D52"/>
    <mergeCell ref="D53:D58"/>
    <mergeCell ref="D59:D69"/>
    <mergeCell ref="D70:D74"/>
    <mergeCell ref="E3:E6"/>
    <mergeCell ref="E7:E10"/>
    <mergeCell ref="E12:E16"/>
    <mergeCell ref="E17:E22"/>
    <mergeCell ref="E23:E29"/>
    <mergeCell ref="E30:E34"/>
    <mergeCell ref="E35:E40"/>
    <mergeCell ref="E41:E46"/>
    <mergeCell ref="E47:E52"/>
    <mergeCell ref="E53:E58"/>
    <mergeCell ref="E59:E69"/>
    <mergeCell ref="E70:E74"/>
    <mergeCell ref="F3:F6"/>
    <mergeCell ref="F9:F10"/>
    <mergeCell ref="F12:F14"/>
    <mergeCell ref="F17:F21"/>
    <mergeCell ref="F23:F29"/>
    <mergeCell ref="F30:F34"/>
    <mergeCell ref="F35:F40"/>
    <mergeCell ref="F41:F46"/>
    <mergeCell ref="F47:F52"/>
    <mergeCell ref="F53:F58"/>
    <mergeCell ref="F59:F69"/>
    <mergeCell ref="F70:F74"/>
  </mergeCells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0"/>
  <sheetViews>
    <sheetView workbookViewId="0">
      <selection activeCell="D27" sqref="D27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1" max="11" width="9.54545454545454"/>
  </cols>
  <sheetData>
    <row r="1" s="1" customFormat="1" ht="21" spans="1:10">
      <c r="A1" s="2" t="s">
        <v>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22" t="s">
        <v>14</v>
      </c>
    </row>
    <row r="3" s="1" customFormat="1" ht="16.5" spans="1:11">
      <c r="A3" s="44">
        <v>45642</v>
      </c>
      <c r="B3" s="36" t="s">
        <v>237</v>
      </c>
      <c r="C3" s="28">
        <v>17476</v>
      </c>
      <c r="D3" s="45" t="s">
        <v>238</v>
      </c>
      <c r="E3" s="46" t="s">
        <v>239</v>
      </c>
      <c r="F3" s="47" t="s">
        <v>240</v>
      </c>
      <c r="G3" s="42" t="s">
        <v>241</v>
      </c>
      <c r="H3" s="42">
        <v>5400</v>
      </c>
      <c r="I3" s="53">
        <v>0.195</v>
      </c>
      <c r="J3" s="42">
        <f>H3*I3</f>
        <v>1053</v>
      </c>
      <c r="K3" s="40"/>
    </row>
    <row r="4" s="1" customFormat="1" ht="16.5" spans="1:10">
      <c r="A4" s="37"/>
      <c r="B4"/>
      <c r="C4" s="24"/>
      <c r="D4"/>
      <c r="E4" s="38"/>
      <c r="F4" s="39"/>
      <c r="G4"/>
      <c r="H4"/>
      <c r="I4" s="43" t="s">
        <v>49</v>
      </c>
      <c r="J4" s="43">
        <f>SUM(J3:J3)</f>
        <v>1053</v>
      </c>
    </row>
    <row r="5" spans="1:6">
      <c r="A5" s="38"/>
      <c r="F5" s="40"/>
    </row>
    <row r="7" ht="28.5" spans="1:10">
      <c r="A7" s="48" t="s">
        <v>115</v>
      </c>
      <c r="B7" s="48"/>
      <c r="C7" s="48"/>
      <c r="D7" s="48"/>
      <c r="E7" s="48"/>
      <c r="F7" s="48"/>
      <c r="G7" s="48"/>
      <c r="H7" s="48"/>
      <c r="I7" s="48"/>
      <c r="J7" s="48"/>
    </row>
    <row r="8" ht="14.5" spans="1:10">
      <c r="A8" s="49" t="s">
        <v>116</v>
      </c>
      <c r="B8" s="49" t="s">
        <v>117</v>
      </c>
      <c r="C8" s="49" t="s">
        <v>118</v>
      </c>
      <c r="D8" s="49" t="s">
        <v>119</v>
      </c>
      <c r="E8" s="49" t="s">
        <v>120</v>
      </c>
      <c r="F8" s="50" t="s">
        <v>121</v>
      </c>
      <c r="G8" s="49" t="s">
        <v>122</v>
      </c>
      <c r="H8" s="49" t="s">
        <v>123</v>
      </c>
      <c r="I8" s="49" t="s">
        <v>124</v>
      </c>
      <c r="J8" s="49" t="s">
        <v>125</v>
      </c>
    </row>
    <row r="9" ht="28.5" spans="1:10">
      <c r="A9" s="49"/>
      <c r="B9" s="49"/>
      <c r="C9" s="49"/>
      <c r="D9" s="49" t="s">
        <v>126</v>
      </c>
      <c r="E9" s="49"/>
      <c r="F9" s="50" t="s">
        <v>127</v>
      </c>
      <c r="G9" s="49"/>
      <c r="H9" s="49"/>
      <c r="I9" s="51" t="s">
        <v>128</v>
      </c>
      <c r="J9" s="49"/>
    </row>
    <row r="10" ht="28" spans="1:10">
      <c r="A10" s="51">
        <v>1</v>
      </c>
      <c r="B10" s="52">
        <v>45747</v>
      </c>
      <c r="C10" s="49" t="s">
        <v>129</v>
      </c>
      <c r="D10" s="49" t="s">
        <v>242</v>
      </c>
      <c r="E10" s="49" t="s">
        <v>243</v>
      </c>
      <c r="F10" s="49" t="s">
        <v>244</v>
      </c>
      <c r="G10" s="49" t="s">
        <v>245</v>
      </c>
      <c r="H10" s="49">
        <v>5400</v>
      </c>
      <c r="I10" s="54">
        <v>1053</v>
      </c>
      <c r="J10" s="49"/>
    </row>
  </sheetData>
  <mergeCells count="9">
    <mergeCell ref="A1:J1"/>
    <mergeCell ref="A7:J7"/>
    <mergeCell ref="A8:A9"/>
    <mergeCell ref="B8:B9"/>
    <mergeCell ref="C8:C9"/>
    <mergeCell ref="E8:E9"/>
    <mergeCell ref="G8:G9"/>
    <mergeCell ref="H8:H9"/>
    <mergeCell ref="J8:J9"/>
  </mergeCells>
  <pageMargins left="0.75" right="0.75" top="1" bottom="1" header="0.5" footer="0.5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9"/>
  <sheetViews>
    <sheetView workbookViewId="0">
      <selection activeCell="B22" sqref="B22"/>
    </sheetView>
  </sheetViews>
  <sheetFormatPr defaultColWidth="8.72727272727273" defaultRowHeight="14"/>
  <cols>
    <col min="1" max="1" width="13.1818181818182" customWidth="1"/>
    <col min="2" max="2" width="10.7272727272727" customWidth="1"/>
    <col min="3" max="3" width="8.27272727272727" style="24" customWidth="1"/>
    <col min="4" max="4" width="22.4545454545455" customWidth="1"/>
    <col min="5" max="5" width="32" customWidth="1"/>
    <col min="6" max="6" width="17.3636363636364" style="25" customWidth="1"/>
    <col min="7" max="7" width="56.0909090909091" customWidth="1"/>
    <col min="8" max="8" width="9.45454545454546" customWidth="1"/>
    <col min="9" max="9" width="12.3636363636364" customWidth="1"/>
    <col min="10" max="10" width="11.5454545454545" customWidth="1"/>
    <col min="12" max="12" width="10.5454545454545"/>
  </cols>
  <sheetData>
    <row r="1" s="1" customFormat="1" ht="21" spans="1:10">
      <c r="A1" s="2" t="s">
        <v>50</v>
      </c>
      <c r="B1" s="3"/>
      <c r="C1" s="26"/>
      <c r="D1" s="4"/>
      <c r="E1" s="3"/>
      <c r="F1" s="3"/>
      <c r="G1" s="3"/>
      <c r="H1" s="3"/>
      <c r="I1" s="3"/>
      <c r="J1" s="3"/>
    </row>
    <row r="2" s="1" customFormat="1" customHeight="1" spans="1:10">
      <c r="A2" s="5" t="s">
        <v>1</v>
      </c>
      <c r="B2" s="5" t="s">
        <v>2</v>
      </c>
      <c r="C2" s="7" t="s">
        <v>3</v>
      </c>
      <c r="D2" s="6" t="s">
        <v>4</v>
      </c>
      <c r="E2" s="5" t="s">
        <v>5</v>
      </c>
      <c r="F2" s="6" t="s">
        <v>6</v>
      </c>
      <c r="G2" s="7" t="s">
        <v>12</v>
      </c>
      <c r="H2" s="8" t="s">
        <v>13</v>
      </c>
      <c r="I2" s="9" t="s">
        <v>10</v>
      </c>
      <c r="J2" s="41" t="s">
        <v>51</v>
      </c>
    </row>
    <row r="3" s="1" customFormat="1" ht="16.5" spans="1:11">
      <c r="A3" s="27">
        <v>45700</v>
      </c>
      <c r="B3" s="28" t="s">
        <v>39</v>
      </c>
      <c r="C3" s="28" t="s">
        <v>199</v>
      </c>
      <c r="D3" s="29" t="s">
        <v>200</v>
      </c>
      <c r="E3" s="28" t="s">
        <v>201</v>
      </c>
      <c r="F3" s="30" t="s">
        <v>202</v>
      </c>
      <c r="G3" s="31" t="s">
        <v>83</v>
      </c>
      <c r="H3" s="32">
        <v>8782</v>
      </c>
      <c r="I3" s="36">
        <v>1.07</v>
      </c>
      <c r="J3" s="42">
        <f>H3*I3</f>
        <v>9396.74</v>
      </c>
      <c r="K3" s="40"/>
    </row>
    <row r="4" s="1" customFormat="1" ht="16.5" spans="1:11">
      <c r="A4" s="27"/>
      <c r="B4" s="28"/>
      <c r="C4" s="28"/>
      <c r="D4" s="29"/>
      <c r="E4" s="28"/>
      <c r="F4" s="33"/>
      <c r="G4" s="31" t="s">
        <v>77</v>
      </c>
      <c r="H4" s="32">
        <f>H6*0.01</f>
        <v>85.26</v>
      </c>
      <c r="I4" s="36">
        <v>0</v>
      </c>
      <c r="J4" s="42">
        <f>H4*I4</f>
        <v>0</v>
      </c>
      <c r="K4" s="40"/>
    </row>
    <row r="5" s="1" customFormat="1" ht="16.5" spans="1:11">
      <c r="A5" s="27"/>
      <c r="B5" s="28"/>
      <c r="C5" s="28"/>
      <c r="D5" s="29"/>
      <c r="E5" s="28"/>
      <c r="F5" s="34"/>
      <c r="G5" s="31" t="s">
        <v>203</v>
      </c>
      <c r="H5" s="32">
        <f>20+5+5</f>
        <v>30</v>
      </c>
      <c r="I5" s="36">
        <v>0</v>
      </c>
      <c r="J5" s="42">
        <f>H5*I5</f>
        <v>0</v>
      </c>
      <c r="K5" s="40"/>
    </row>
    <row r="6" s="1" customFormat="1" ht="16.5" spans="1:11">
      <c r="A6" s="27"/>
      <c r="B6" s="28"/>
      <c r="C6" s="28"/>
      <c r="D6" s="29"/>
      <c r="E6" s="28"/>
      <c r="F6" s="35" t="s">
        <v>204</v>
      </c>
      <c r="G6" s="31" t="s">
        <v>91</v>
      </c>
      <c r="H6" s="36">
        <f>3500+2500+2500+26</f>
        <v>8526</v>
      </c>
      <c r="I6" s="36">
        <v>0.28</v>
      </c>
      <c r="J6" s="42">
        <f>H6*I6</f>
        <v>2387.28</v>
      </c>
      <c r="K6" s="40"/>
    </row>
    <row r="7" s="1" customFormat="1" ht="16.5" spans="1:11">
      <c r="A7" s="27"/>
      <c r="B7" s="28"/>
      <c r="C7" s="28"/>
      <c r="D7" s="29"/>
      <c r="E7" s="28"/>
      <c r="F7" s="35" t="s">
        <v>204</v>
      </c>
      <c r="G7" s="31" t="s">
        <v>205</v>
      </c>
      <c r="H7" s="36">
        <f>250+175</f>
        <v>425</v>
      </c>
      <c r="I7" s="36">
        <v>0.042</v>
      </c>
      <c r="J7" s="42">
        <f>H7*I7</f>
        <v>17.85</v>
      </c>
      <c r="K7" s="40"/>
    </row>
    <row r="8" s="1" customFormat="1" ht="16.5" spans="1:11">
      <c r="A8" s="37"/>
      <c r="B8"/>
      <c r="C8" s="24"/>
      <c r="D8"/>
      <c r="E8" s="38"/>
      <c r="F8" s="39"/>
      <c r="G8"/>
      <c r="H8"/>
      <c r="I8" s="43" t="s">
        <v>49</v>
      </c>
      <c r="J8" s="43">
        <f>SUM(J3:J7)</f>
        <v>11801.87</v>
      </c>
      <c r="K8"/>
    </row>
    <row r="9" spans="1:6">
      <c r="A9" s="38"/>
      <c r="F9" s="40"/>
    </row>
  </sheetData>
  <mergeCells count="7">
    <mergeCell ref="A1:J1"/>
    <mergeCell ref="A3:A7"/>
    <mergeCell ref="B3:B7"/>
    <mergeCell ref="C3:C7"/>
    <mergeCell ref="D3:D7"/>
    <mergeCell ref="E3:E7"/>
    <mergeCell ref="F3:F5"/>
  </mergeCell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workbookViewId="0">
      <selection activeCell="C35" sqref="C35"/>
    </sheetView>
  </sheetViews>
  <sheetFormatPr defaultColWidth="8.72727272727273" defaultRowHeight="14"/>
  <cols>
    <col min="1" max="1" width="16" style="1" customWidth="1"/>
    <col min="2" max="2" width="13" style="1" customWidth="1"/>
    <col min="3" max="3" width="9.09090909090909" style="1" customWidth="1"/>
    <col min="4" max="4" width="15" style="1" customWidth="1"/>
    <col min="5" max="5" width="24.8181818181818" style="1" customWidth="1"/>
    <col min="6" max="6" width="49.6363636363636" style="1" customWidth="1"/>
    <col min="7" max="7" width="12.9090909090909" style="1" customWidth="1"/>
    <col min="8" max="8" width="11.5454545454545" style="1" customWidth="1"/>
    <col min="9" max="9" width="12.9090909090909" style="1" customWidth="1"/>
    <col min="10" max="10" width="23" style="1" customWidth="1"/>
    <col min="11" max="16384" width="8.72727272727273" style="1"/>
  </cols>
  <sheetData>
    <row r="1" s="1" customFormat="1" ht="21" spans="1:9">
      <c r="A1" s="2" t="s">
        <v>246</v>
      </c>
      <c r="B1" s="3"/>
      <c r="C1" s="3"/>
      <c r="D1" s="4"/>
      <c r="E1" s="3"/>
      <c r="F1" s="3"/>
      <c r="G1" s="3"/>
      <c r="H1" s="3"/>
      <c r="I1" s="3"/>
    </row>
    <row r="2" s="1" customFormat="1" spans="1:9">
      <c r="A2" s="5" t="s">
        <v>247</v>
      </c>
      <c r="B2" s="5" t="s">
        <v>248</v>
      </c>
      <c r="C2" s="5" t="s">
        <v>249</v>
      </c>
      <c r="D2" s="6" t="s">
        <v>4</v>
      </c>
      <c r="E2" s="5" t="s">
        <v>250</v>
      </c>
      <c r="F2" s="7" t="s">
        <v>251</v>
      </c>
      <c r="G2" s="8" t="s">
        <v>252</v>
      </c>
      <c r="H2" s="9" t="s">
        <v>253</v>
      </c>
      <c r="I2" s="22" t="s">
        <v>51</v>
      </c>
    </row>
    <row r="3" s="1" customFormat="1" ht="16" customHeight="1" spans="1:9">
      <c r="A3" s="10">
        <v>45404</v>
      </c>
      <c r="B3" s="11" t="s">
        <v>15</v>
      </c>
      <c r="C3" s="12" t="s">
        <v>254</v>
      </c>
      <c r="D3" s="13" t="s">
        <v>255</v>
      </c>
      <c r="E3" s="12" t="s">
        <v>256</v>
      </c>
      <c r="F3" s="14" t="s">
        <v>257</v>
      </c>
      <c r="G3" s="14">
        <v>32500</v>
      </c>
      <c r="H3" s="14">
        <v>0.13</v>
      </c>
      <c r="I3" s="14">
        <f t="shared" ref="I3:I9" si="0">G3*H3</f>
        <v>4225</v>
      </c>
    </row>
    <row r="4" s="1" customFormat="1" ht="16" customHeight="1" spans="1:9">
      <c r="A4" s="15"/>
      <c r="B4" s="16"/>
      <c r="C4" s="17"/>
      <c r="D4" s="18"/>
      <c r="E4" s="17"/>
      <c r="F4" s="14" t="s">
        <v>258</v>
      </c>
      <c r="G4" s="14">
        <f>G3*4</f>
        <v>130000</v>
      </c>
      <c r="H4" s="14">
        <v>0.042</v>
      </c>
      <c r="I4" s="14">
        <f t="shared" si="0"/>
        <v>5460</v>
      </c>
    </row>
    <row r="5" s="1" customFormat="1" ht="16" customHeight="1" spans="1:9">
      <c r="A5" s="15"/>
      <c r="B5" s="16"/>
      <c r="C5" s="17"/>
      <c r="D5" s="18"/>
      <c r="E5" s="17"/>
      <c r="F5" s="19" t="s">
        <v>259</v>
      </c>
      <c r="G5" s="19">
        <v>32500</v>
      </c>
      <c r="H5" s="19">
        <v>0.03</v>
      </c>
      <c r="I5" s="19">
        <f t="shared" si="0"/>
        <v>975</v>
      </c>
    </row>
    <row r="6" s="1" customFormat="1" ht="16" customHeight="1" spans="1:9">
      <c r="A6" s="15"/>
      <c r="B6" s="16"/>
      <c r="C6" s="17"/>
      <c r="D6" s="18"/>
      <c r="E6" s="17"/>
      <c r="F6" s="19" t="s">
        <v>260</v>
      </c>
      <c r="G6" s="19">
        <v>32500</v>
      </c>
      <c r="H6" s="19">
        <v>0.25</v>
      </c>
      <c r="I6" s="19">
        <f t="shared" si="0"/>
        <v>8125</v>
      </c>
    </row>
    <row r="7" s="1" customFormat="1" ht="16" customHeight="1" spans="1:9">
      <c r="A7" s="15"/>
      <c r="B7" s="16"/>
      <c r="C7" s="17"/>
      <c r="D7" s="18"/>
      <c r="E7" s="17"/>
      <c r="F7" s="19" t="s">
        <v>21</v>
      </c>
      <c r="G7" s="19">
        <v>32500</v>
      </c>
      <c r="H7" s="19">
        <v>0.294</v>
      </c>
      <c r="I7" s="19">
        <f t="shared" si="0"/>
        <v>9555</v>
      </c>
    </row>
    <row r="8" s="1" customFormat="1" ht="16" customHeight="1" spans="1:9">
      <c r="A8" s="15"/>
      <c r="B8" s="16"/>
      <c r="C8" s="17"/>
      <c r="D8" s="18"/>
      <c r="E8" s="17"/>
      <c r="F8" s="19" t="s">
        <v>113</v>
      </c>
      <c r="G8" s="19">
        <v>32500</v>
      </c>
      <c r="H8" s="19">
        <v>0</v>
      </c>
      <c r="I8" s="19">
        <f t="shared" si="0"/>
        <v>0</v>
      </c>
    </row>
    <row r="9" s="1" customFormat="1" ht="16" customHeight="1" spans="1:9">
      <c r="A9" s="15"/>
      <c r="B9" s="16"/>
      <c r="C9" s="17"/>
      <c r="D9" s="18"/>
      <c r="E9" s="17"/>
      <c r="F9" s="19" t="s">
        <v>22</v>
      </c>
      <c r="G9" s="19">
        <v>32500</v>
      </c>
      <c r="H9" s="19">
        <v>0.116</v>
      </c>
      <c r="I9" s="19">
        <f t="shared" si="0"/>
        <v>3770</v>
      </c>
    </row>
    <row r="10" s="1" customFormat="1" ht="17.5" spans="1:9">
      <c r="A10" s="20" t="s">
        <v>49</v>
      </c>
      <c r="B10" s="20"/>
      <c r="C10" s="20"/>
      <c r="D10" s="20"/>
      <c r="E10" s="20"/>
      <c r="F10" s="20"/>
      <c r="G10" s="20"/>
      <c r="H10" s="20"/>
      <c r="I10" s="23">
        <f>SUM(I3:I9)</f>
        <v>32110</v>
      </c>
    </row>
    <row r="11" s="1" customFormat="1" ht="17.5" spans="1:9">
      <c r="A11" s="21"/>
      <c r="B11" s="21"/>
      <c r="C11" s="21"/>
      <c r="D11" s="21"/>
      <c r="E11" s="21"/>
      <c r="F11" s="21"/>
      <c r="G11" s="21"/>
      <c r="H11" s="21"/>
      <c r="I11" s="21"/>
    </row>
  </sheetData>
  <mergeCells count="6">
    <mergeCell ref="A1:I1"/>
    <mergeCell ref="A3:A9"/>
    <mergeCell ref="B3:B9"/>
    <mergeCell ref="C3:C9"/>
    <mergeCell ref="D3:D9"/>
    <mergeCell ref="E3:E9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2024-5月-7月-已开票</vt:lpstr>
      <vt:lpstr>9月Adela-国内</vt:lpstr>
      <vt:lpstr>9月Adela-孟加拉</vt:lpstr>
      <vt:lpstr>4月Emily</vt:lpstr>
      <vt:lpstr>4月Adela (2)</vt:lpstr>
      <vt:lpstr>12月miranda</vt:lpstr>
      <vt:lpstr>对账单</vt:lpstr>
      <vt:lpstr>4月已开票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Z&amp;M&amp;L</cp:lastModifiedBy>
  <dcterms:created xsi:type="dcterms:W3CDTF">2017-08-21T10:11:00Z</dcterms:created>
  <dcterms:modified xsi:type="dcterms:W3CDTF">2025-10-12T14:13:37Z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9FAAFD8B5014488185594E6492FB333D_13</vt:lpwstr>
  </property>
</Properties>
</file>