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2024-5月-7月-已开票" sheetId="19" state="hidden" r:id="rId1"/>
    <sheet name="11月Adela-国内" sheetId="20" r:id="rId2"/>
    <sheet name="11月Adela-国内 (2)" sheetId="30" r:id="rId3"/>
    <sheet name="11月Adela-孟加拉" sheetId="29" r:id="rId4"/>
    <sheet name="4月Emily" sheetId="27" state="hidden" r:id="rId5"/>
    <sheet name="4月Adela (2)" sheetId="28" state="hidden" r:id="rId6"/>
    <sheet name="12月miranda" sheetId="24" state="hidden" r:id="rId7"/>
    <sheet name="对账单" sheetId="26" state="hidden" r:id="rId8"/>
    <sheet name="4月已开票" sheetId="21" state="hidden" r:id="rId9"/>
  </sheets>
  <definedNames>
    <definedName name="_xlnm._FilterDatabase" localSheetId="0" hidden="1">'2024-5月-7月-已开票'!$A$2:$O$36</definedName>
    <definedName name="_xlnm._FilterDatabase" localSheetId="1" hidden="1">'11月Adela-国内'!$A$1:$J$101</definedName>
    <definedName name="_xlnm._FilterDatabase" localSheetId="2" hidden="1">'11月Adela-国内 (2)'!$A$1:$J$101</definedName>
    <definedName name="_xlnm._FilterDatabase" localSheetId="3" hidden="1">'11月Adela-孟加拉'!$A$1:$J$35</definedName>
    <definedName name="_xlnm._FilterDatabase" localSheetId="4" hidden="1">'4月Emily'!$A$1:$J$20</definedName>
    <definedName name="_xlnm._FilterDatabase" localSheetId="5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<sst xmlns="http://schemas.openxmlformats.org/spreadsheetml/2006/main" count="925" uniqueCount="315">
  <si>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</si>
  <si>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</si>
  <si>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</si>
  <si>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</si>
  <si>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</si>
  <si>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</si>
  <si>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</si>
  <si>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</si>
  <si>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</si>
  <si>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</si>
  <si>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</si>
  <si>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</si>
  <si>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</si>
  <si>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</si>
  <si>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</si>
  <si>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</si>
  <si>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</si>
  <si>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</si>
  <si>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</si>
  <si>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</si>
  <si>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</si>
  <si>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</si>
  <si>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</si>
  <si>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</si>
  <si>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</si>
  <si>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</si>
  <si>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</si>
  <si>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</si>
  <si>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</si>
  <si>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</si>
  <si>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</si>
  <si>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</si>
  <si>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</si>
  <si>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</si>
  <si>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</si>
  <si>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</si>
  <si>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</si>
  <si>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</si>
  <si>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</si>
  <si>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</si>
  <si>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</si>
  <si>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</si>
  <si>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</si>
  <si>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</si>
  <si>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</si>
  <si>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</si>
  <si>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</si>
  <si>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</si>
  <si>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</si>
  <si>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</si>
  <si>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</si>
  <si>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t>开票信息（品名，数量，单位，金额必须保持一致）</t>
  </si>
  <si>
    <t>报关单号</t>
  </si>
  <si>
    <t>金额</t>
  </si>
  <si>
    <t>开票抬头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</si>
  <si>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</si>
  <si>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HZBT25023-C
OK</t>
  </si>
  <si>
    <t>佰益进服装南京有限公司
纳税人识别号:
91320114MA1MYKDW3F
地址、电话:
南京市秦淮区永智路5号南京白下高新技术产业开发区5号楼E
栋1楼101-2 
025-84721246
开户行及账号:
宁波银行股份有限公司南京分行72010122001315988</t>
  </si>
  <si>
    <t>RBSKNJTD009</t>
  </si>
  <si>
    <t>PANDORA 6774-046-800
BANGLADESH 男上
翻3</t>
  </si>
  <si>
    <t>未出货 客人取消</t>
  </si>
  <si>
    <t>RBSKNJTD015</t>
  </si>
  <si>
    <t>2025.1.23</t>
  </si>
  <si>
    <t>白色胶带洗标35*100mm</t>
  </si>
  <si>
    <t>82766
82767
84341
84767</t>
  </si>
  <si>
    <t>RBSKNJTD063</t>
  </si>
  <si>
    <t>PINTA 3606-140-800
BANGLADESH 男上装 夹克 翻单4</t>
  </si>
  <si>
    <t>2025.7.17</t>
  </si>
  <si>
    <t>WLBCRFI005 RFID白织标-51*51mm</t>
  </si>
  <si>
    <t>WLBCRFI005 RFID白织标-51*51mm-免费损耗1%</t>
  </si>
  <si>
    <t>白色缎带洗标CLBCGEN003*5页-60*25mm（加页码）</t>
  </si>
  <si>
    <t>黑色 吊绳 MRBCGEN004-320*1.5mm</t>
  </si>
  <si>
    <t>HZBT25026-D
OK</t>
  </si>
  <si>
    <t>83887
84184
84770</t>
  </si>
  <si>
    <t>RBSKNJTD065</t>
  </si>
  <si>
    <t>PALOMA 6770-046-800
BANGLADESH 男上装 翻单6</t>
  </si>
  <si>
    <t>RBSKNJTD068</t>
  </si>
  <si>
    <t>PINTA 3606-140-800
BANGLADESH 男上装 夹克 翻单6</t>
  </si>
  <si>
    <t>WLBCRFI005 RFID白织标-51*51mm（+3%）</t>
  </si>
  <si>
    <t>2025.7.31</t>
  </si>
  <si>
    <t>HZBT25026-A
OK</t>
  </si>
  <si>
    <t>RBSKNJTD069</t>
  </si>
  <si>
    <t>PINTA 3606-046-802
BANGLADESH 男上背心 RFID加单10</t>
  </si>
  <si>
    <t>40002
40003
40051
85319</t>
  </si>
  <si>
    <t>RBSKNJTD073</t>
  </si>
  <si>
    <t>PRINGLE 6821-046-250/800
BANGLADESH 男上装</t>
  </si>
  <si>
    <t>2025.8.6</t>
  </si>
  <si>
    <t>白色吊牌HPBCRFI001-60*95mm-RFID LOGO</t>
  </si>
  <si>
    <t>2025.8.1</t>
  </si>
  <si>
    <t>黑色织标WLBCRFI006-51*51mm-RFID(+3%)</t>
  </si>
  <si>
    <t>HZBT25026-C
OK</t>
  </si>
  <si>
    <t>黑色织标WLBCRFI006-51*51mm-免费损耗1%</t>
  </si>
  <si>
    <t>黑色织标WLBCRFI006-51*51mm-大货样</t>
  </si>
  <si>
    <t>87001
85375
86576</t>
  </si>
  <si>
    <t>RBSKNJTD074</t>
  </si>
  <si>
    <t>PALOMA 6770-046-800
BANGLADESH 男上装 翻单7</t>
  </si>
  <si>
    <t>HZBT25028-B
OK</t>
  </si>
  <si>
    <t>HZBT25029-C
OK</t>
  </si>
  <si>
    <t>RBSKNJTD075</t>
  </si>
  <si>
    <t>PINTA 3606-140-800
BANGLADESH 男上装 夹克 翻单7</t>
  </si>
  <si>
    <t>RBSKNJTD077</t>
  </si>
  <si>
    <t>PINTA 3606-140-800
BANGLADESH 男上装 夹克 翻单8</t>
  </si>
  <si>
    <t>WLBCRFI005 RFID白织标-51*51mm-免费大货样</t>
  </si>
  <si>
    <t>HZBT25032-D
OK</t>
  </si>
  <si>
    <t>RBSKNJTD078</t>
  </si>
  <si>
    <t>PRINGLE 6821-046-800
BANGLADESH 男上装 翻单1</t>
  </si>
  <si>
    <t>2025.8.14</t>
  </si>
  <si>
    <t>HZBT25032-C
OK</t>
  </si>
  <si>
    <t>85616
86023</t>
  </si>
  <si>
    <t>RBSKNJTD081</t>
  </si>
  <si>
    <t>8615-545-800
China 女上装</t>
  </si>
  <si>
    <t>2025.8.28</t>
  </si>
  <si>
    <t>黑色织标WLBCRFI006-51*51mm-RFID</t>
  </si>
  <si>
    <t>HZBT25035-B</t>
  </si>
  <si>
    <t>2025.8.29</t>
  </si>
  <si>
    <t>2025.8.27</t>
  </si>
  <si>
    <t>40308
40309
40339</t>
  </si>
  <si>
    <t>RBSKNJTD090</t>
  </si>
  <si>
    <t>NIGHTMARE 0089-046-529/641
China 男外套</t>
  </si>
  <si>
    <t>2025.9.25</t>
  </si>
  <si>
    <t>HZBT25034-F
OK</t>
  </si>
  <si>
    <t>2025.9.28</t>
  </si>
  <si>
    <t>白色缎带洗标CLBCGEN003*4页-60*25mm（加页码）</t>
  </si>
  <si>
    <t>2025.9.30</t>
  </si>
  <si>
    <t>HZBT25035-E
OK</t>
  </si>
  <si>
    <t>40381
40382</t>
  </si>
  <si>
    <t>RBSKNJTD091</t>
  </si>
  <si>
    <t>PRISA 0805-046-800/529
China 男裤子</t>
  </si>
  <si>
    <t>2025.9.26</t>
  </si>
  <si>
    <t>白色RFID织标WLBCRFI015-65*20mm</t>
  </si>
  <si>
    <t>白色RFID织标WLBCRFI015-65*20mm-免费损耗1%</t>
  </si>
  <si>
    <t>白色RFID织标WLBCRFI015-65*20mm-大货样</t>
  </si>
  <si>
    <t>HZBT25035-A
OK</t>
  </si>
  <si>
    <t>白色织标WLBCGEN020(06B）-85*20mm</t>
  </si>
  <si>
    <t>2025.9.27</t>
  </si>
  <si>
    <t>腰卡（WTBCGEN225）-88*82mmSUPER BAGGY</t>
  </si>
  <si>
    <t>41239
41251
41249</t>
  </si>
  <si>
    <t>RBSKNJTD097</t>
  </si>
  <si>
    <t>NIGHTMARE 0089-140-529/641
BANGLADESH 男外套</t>
  </si>
  <si>
    <t>2025.10.15</t>
  </si>
  <si>
    <t>黑色织标WLBCRFI006-51*51mm-RFID（+3%）</t>
  </si>
  <si>
    <t>HZBT25034-C
OK</t>
  </si>
  <si>
    <t>RBSKNJTD099</t>
  </si>
  <si>
    <t>PRISA 0805-046-529
China 男裤子 补单</t>
  </si>
  <si>
    <t>2025.10.16</t>
  </si>
  <si>
    <t>HZBT25036-E
OK</t>
  </si>
  <si>
    <t>RBSKNJTD0100</t>
  </si>
  <si>
    <t>NIGHTMARE 0089-046
China 男外套 补单</t>
  </si>
  <si>
    <t>黑色织标WLBCRFI006-51*51mm-RFID-3%数量</t>
  </si>
  <si>
    <t>RBSKNJTD0103</t>
  </si>
  <si>
    <t>PRISA 0805-046-800
China 男裤子 补单2</t>
  </si>
  <si>
    <t>2025.10.23</t>
  </si>
  <si>
    <t>白色缎带洗标CLBCGEN003*1页-60*25mm（条码页）</t>
  </si>
  <si>
    <t>2025.10.25</t>
  </si>
  <si>
    <t>40923
40933
42368
40928</t>
  </si>
  <si>
    <t>RBSKNJTD0104</t>
  </si>
  <si>
    <t>PRISA 0805-046-529/800
China 男裤子 翻单1</t>
  </si>
  <si>
    <t>2025.10.26</t>
  </si>
  <si>
    <t>白色RFID织标WLBCRFI015-65*20mm（+3%）</t>
  </si>
  <si>
    <t>2025.11.7</t>
  </si>
  <si>
    <t>2025.11.8</t>
  </si>
  <si>
    <t>配比装胶带贴纸  BKSKR24014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</si>
  <si>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</si>
  <si>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</si>
  <si>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</si>
  <si>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</si>
  <si>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</si>
  <si>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77944
77918
78414
78832</t>
  </si>
  <si>
    <t>RBSKNJTD031</t>
  </si>
  <si>
    <t>PINTA 3606-140-800/802
BANGLADESH 男上装 夹克</t>
  </si>
  <si>
    <t>2025.5.13</t>
  </si>
  <si>
    <t>白色缎带洗标CLBCGEN003*2页-60*25mm（加页码）</t>
  </si>
  <si>
    <t>2025.5.18</t>
  </si>
  <si>
    <t>白色缎带洗标CLBCGEN003*2页-60*25mm（1%损耗）</t>
  </si>
  <si>
    <t>78414</t>
  </si>
  <si>
    <t>RBSKNJTD055</t>
  </si>
  <si>
    <t>PINTA 3606-140-800
BANGLADESH 男上装 夹克 翻单2</t>
  </si>
  <si>
    <t>2025.6.25</t>
  </si>
  <si>
    <t>白色吊牌HPBCGEN001-60*95mm-1%损耗</t>
  </si>
  <si>
    <t>RBSKNJTD060</t>
  </si>
  <si>
    <t>PINTA 3606-140-800
BANGLADESH 男上装 夹克 翻单3</t>
  </si>
  <si>
    <t>2025.7.7</t>
  </si>
  <si>
    <t>81982
82768</t>
  </si>
  <si>
    <t>RBSKNJTD066</t>
  </si>
  <si>
    <t>PINTA 3606-046-802
BANGLADESH 男上背心 RFID加单9</t>
  </si>
  <si>
    <t>2025.7.15</t>
  </si>
  <si>
    <t>RBSKNJTD067</t>
  </si>
  <si>
    <t>PINTA 3606-140-800
BANGLADESH 男上装 夹克 翻单5</t>
  </si>
  <si>
    <t>2025.7.19</t>
  </si>
  <si>
    <t>RBSKNJTD072</t>
  </si>
  <si>
    <t>NEGRONI  6809-046-800
BANGLADESH 男上装 翻单1</t>
  </si>
  <si>
    <t>白色吊牌HPBCRFI001-60*95mm-RFID LOGO（ZALA）</t>
  </si>
  <si>
    <t>白色吊牌HPBCRFI001-60*95mm-RFID LOGO（ZALA）-损耗1%</t>
  </si>
  <si>
    <t>2025.8.16</t>
  </si>
  <si>
    <t>MP贴纸101.6*38.1mm（热胶）BKSKR24011</t>
  </si>
  <si>
    <t>MP贴纸101.6*38.1mm（热胶）BKSKR24011-损耗1%</t>
  </si>
  <si>
    <t>RBSKNJTD079</t>
  </si>
  <si>
    <t>ACHIOTE 6795-046
BANGLADESH 男上装 翻单1</t>
  </si>
  <si>
    <t>2025.8.18</t>
  </si>
  <si>
    <t>纸板-35*54cm-300g BKOTH25053</t>
  </si>
  <si>
    <t>纸板-35*54cm-300g BKOTH25053-5%损耗</t>
  </si>
  <si>
    <t>RBSKNJTD087</t>
  </si>
  <si>
    <t>PRINGLE 6821-046
BANGLADESH 男上装 补单</t>
  </si>
  <si>
    <t>2025.9.10</t>
  </si>
  <si>
    <t>白色缎带洗标CLBCGEN003*1页-60*25mm（第5页洗语页）</t>
  </si>
  <si>
    <t>白色缎带洗标CLBCGEN003*1页-60*25mm（1%损耗）</t>
  </si>
  <si>
    <t>RBSKNJTD088</t>
  </si>
  <si>
    <t>PINTA 3606-046-802
BANGLADESH 男上背心 RFID加单11</t>
  </si>
  <si>
    <t>2025.9.13</t>
  </si>
  <si>
    <t>白色缎带洗标CLBCGEN003*2页-60*25mm（条码页+产地页）</t>
  </si>
  <si>
    <t>白色缎带洗标CLBCGEN003*2页-60*25mm-1%损耗</t>
  </si>
  <si>
    <t>2025.9.15</t>
  </si>
  <si>
    <t>85358
86578</t>
  </si>
  <si>
    <t>RBSKNJTD093</t>
  </si>
  <si>
    <t>PINTA 3606-140-800
BANGLADESH 男上装 夹克 翻单9</t>
  </si>
  <si>
    <t>白色吊牌HPBCRFI001-60*95mm-RFID LOGO-1%损耗</t>
  </si>
  <si>
    <t>RBSKNJTD094</t>
  </si>
  <si>
    <t>PINTA 3606-140-800
BANGLADESH 男上装 夹克 翻单9 补单</t>
  </si>
  <si>
    <t>RBSKNJTD095</t>
  </si>
  <si>
    <t>PRINGLE 6821-046-800
BANGLADESH 男上装 翻单2</t>
  </si>
  <si>
    <t>RBSKNJTD096</t>
  </si>
  <si>
    <t>PALOMA 6770-046-800
BANGLADESH 男上装 翻单8</t>
  </si>
  <si>
    <t>Emily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</si>
  <si>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</si>
  <si>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</si>
  <si>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</si>
  <si>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</si>
  <si>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</si>
  <si>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77253
77468</t>
  </si>
  <si>
    <t>RBSKNJTD026</t>
  </si>
  <si>
    <t>MISO 6776-046-600/800
BANGLADESH 男上装 夹克 加单</t>
  </si>
  <si>
    <t>2025.4.9</t>
  </si>
  <si>
    <t>纸板-32cm*48cm-300g BKOTH25001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</si>
  <si>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</si>
  <si>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</si>
  <si>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</si>
  <si>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</si>
  <si>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</si>
  <si>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</si>
  <si>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</si>
  <si>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</si>
  <si>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</si>
  <si>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RFID白织标-51*51mm-大货样</t>
  </si>
  <si>
    <t>2025.2.18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</si>
  <si>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</si>
  <si>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</si>
  <si>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</si>
  <si>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</si>
  <si>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</si>
  <si>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</si>
  <si>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</si>
  <si>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</si>
  <si>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</si>
  <si>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</si>
  <si>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</si>
  <si>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</si>
  <si>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</si>
  <si>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</si>
  <si>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</si>
  <si>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</si>
  <si>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</si>
  <si>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</si>
  <si>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</si>
  <si>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</si>
  <si>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77272
77274</t>
  </si>
  <si>
    <t>RBSKNJTD024</t>
  </si>
  <si>
    <t>PALOMA 6770-046-800
BANGLADESH 男上装 翻单1</t>
  </si>
  <si>
    <t>Emily
吊绳单独放</t>
  </si>
  <si>
    <t>77271
77276
77277
77278
77279
77280
77281
77340</t>
  </si>
  <si>
    <t>RBSKNJTD036</t>
  </si>
  <si>
    <t>MISO 5419-046-600/800
BANGLADESH 男下装 裤子 补单</t>
  </si>
  <si>
    <t>2025.4.17</t>
  </si>
  <si>
    <t>白色缎带洗标CLBCGEN003*4页-60*25mm</t>
  </si>
  <si>
    <t>白色RFID织标WLBCRFI015-65*19mm</t>
  </si>
  <si>
    <t>白色RFID织标WLBCRFI015-65*19mm-免费损耗1%</t>
  </si>
  <si>
    <t>miranda</t>
  </si>
  <si>
    <t>RBSKNJTD012</t>
  </si>
  <si>
    <t>1003-409、415、416、051</t>
  </si>
  <si>
    <t>2024.12.21</t>
  </si>
  <si>
    <t>纸板-24.5cm*34.5cm-300gBKOTH24007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</si>
  <si>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</si>
  <si>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</si>
  <si>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</si>
  <si>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</si>
  <si>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</si>
  <si>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</si>
  <si>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</si>
  <si>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</si>
  <si>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</si>
  <si>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</si>
  <si>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</si>
  <si>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</si>
  <si>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</si>
  <si>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</si>
  <si>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同德</t>
  </si>
  <si>
    <t>佰益进服装南京有限公司</t>
  </si>
  <si>
    <t>纸板</t>
  </si>
  <si>
    <t>按照对账单开</t>
  </si>
  <si>
    <t>个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</si>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</sst>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color rgb="FF000000"/>
      <name val="宋体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7" borderId="18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8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43" fillId="0" borderId="0">
      <alignment horizontal="center" vertical="center"/>
    </xf>
    <xf numFmtId="0" fontId="44" fillId="0" borderId="0">
      <alignment vertical="center"/>
    </xf>
    <xf numFmtId="0" fontId="0" fillId="0" borderId="0">
      <alignment vertical="center"/>
    </xf>
    <xf numFmtId="0" fontId="43" fillId="0" borderId="0">
      <alignment horizontal="center" vertical="center"/>
    </xf>
  </cellStyleXfs>
  <cellXfs count="14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9" fontId="19" fillId="0" borderId="0" xfId="0" applyNumberFormat="1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179" fontId="19" fillId="0" borderId="0" xfId="0" applyNumberFormat="1" applyFont="1">
      <alignment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800735</xdr:colOff>
      <xdr:row>25</xdr:row>
      <xdr:rowOff>59055</xdr:rowOff>
    </xdr:from>
    <xdr:to>
      <xdr:col>10</xdr:col>
      <xdr:colOff>4659630</xdr:colOff>
      <xdr:row>29</xdr:row>
      <xdr:rowOff>161290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21085" y="5323205"/>
          <a:ext cx="3858895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273050</xdr:colOff>
      <xdr:row>11</xdr:row>
      <xdr:rowOff>95250</xdr:rowOff>
    </xdr:from>
    <xdr:to>
      <xdr:col>10</xdr:col>
      <xdr:colOff>4554855</xdr:colOff>
      <xdr:row>15</xdr:row>
      <xdr:rowOff>76200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93400" y="2425700"/>
          <a:ext cx="4281805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120650</xdr:colOff>
      <xdr:row>18</xdr:row>
      <xdr:rowOff>130810</xdr:rowOff>
    </xdr:from>
    <xdr:to>
      <xdr:col>11</xdr:col>
      <xdr:colOff>0</xdr:colOff>
      <xdr:row>23</xdr:row>
      <xdr:rowOff>73660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541000" y="3928110"/>
          <a:ext cx="489140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355600</xdr:colOff>
      <xdr:row>31</xdr:row>
      <xdr:rowOff>139700</xdr:rowOff>
    </xdr:from>
    <xdr:to>
      <xdr:col>10</xdr:col>
      <xdr:colOff>4522470</xdr:colOff>
      <xdr:row>35</xdr:row>
      <xdr:rowOff>81915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775950" y="6661150"/>
          <a:ext cx="4166870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105410</xdr:colOff>
      <xdr:row>37</xdr:row>
      <xdr:rowOff>144145</xdr:rowOff>
    </xdr:from>
    <xdr:to>
      <xdr:col>10</xdr:col>
      <xdr:colOff>4316730</xdr:colOff>
      <xdr:row>38</xdr:row>
      <xdr:rowOff>152400</xdr:rowOff>
    </xdr:to>
    <xdr:pic>
      <xdr:nvPicPr>
        <xdr:cNvPr id="20" name="图片 1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525760" y="7922895"/>
          <a:ext cx="421132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361315</xdr:colOff>
      <xdr:row>2</xdr:row>
      <xdr:rowOff>68580</xdr:rowOff>
    </xdr:from>
    <xdr:to>
      <xdr:col>10</xdr:col>
      <xdr:colOff>4878705</xdr:colOff>
      <xdr:row>8</xdr:row>
      <xdr:rowOff>49530</xdr:rowOff>
    </xdr:to>
    <xdr:pic>
      <xdr:nvPicPr>
        <xdr:cNvPr id="21" name="图片 2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781665" y="513080"/>
          <a:ext cx="4517390" cy="1238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461010</xdr:colOff>
      <xdr:row>42</xdr:row>
      <xdr:rowOff>155575</xdr:rowOff>
    </xdr:from>
    <xdr:to>
      <xdr:col>10</xdr:col>
      <xdr:colOff>4613910</xdr:colOff>
      <xdr:row>45</xdr:row>
      <xdr:rowOff>231775</xdr:rowOff>
    </xdr:to>
    <xdr:pic>
      <xdr:nvPicPr>
        <xdr:cNvPr id="22" name="图片 2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881360" y="8982075"/>
          <a:ext cx="4152900" cy="90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508635</xdr:colOff>
      <xdr:row>46</xdr:row>
      <xdr:rowOff>126365</xdr:rowOff>
    </xdr:from>
    <xdr:to>
      <xdr:col>10</xdr:col>
      <xdr:colOff>4909185</xdr:colOff>
      <xdr:row>49</xdr:row>
      <xdr:rowOff>428625</xdr:rowOff>
    </xdr:to>
    <xdr:pic>
      <xdr:nvPicPr>
        <xdr:cNvPr id="23" name="图片 2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928985" y="10159365"/>
          <a:ext cx="4400550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289560</xdr:colOff>
      <xdr:row>73</xdr:row>
      <xdr:rowOff>160655</xdr:rowOff>
    </xdr:from>
    <xdr:to>
      <xdr:col>10</xdr:col>
      <xdr:colOff>4947285</xdr:colOff>
      <xdr:row>78</xdr:row>
      <xdr:rowOff>200025</xdr:rowOff>
    </xdr:to>
    <xdr:pic>
      <xdr:nvPicPr>
        <xdr:cNvPr id="24" name="图片 2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709910" y="16905605"/>
          <a:ext cx="4657725" cy="1087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222885</xdr:colOff>
      <xdr:row>65</xdr:row>
      <xdr:rowOff>75565</xdr:rowOff>
    </xdr:from>
    <xdr:to>
      <xdr:col>11</xdr:col>
      <xdr:colOff>0</xdr:colOff>
      <xdr:row>71</xdr:row>
      <xdr:rowOff>142240</xdr:rowOff>
    </xdr:to>
    <xdr:pic>
      <xdr:nvPicPr>
        <xdr:cNvPr id="25" name="图片 2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643235" y="15144115"/>
          <a:ext cx="4789170" cy="1323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127635</xdr:colOff>
      <xdr:row>58</xdr:row>
      <xdr:rowOff>58420</xdr:rowOff>
    </xdr:from>
    <xdr:to>
      <xdr:col>11</xdr:col>
      <xdr:colOff>0</xdr:colOff>
      <xdr:row>60</xdr:row>
      <xdr:rowOff>225425</xdr:rowOff>
    </xdr:to>
    <xdr:pic>
      <xdr:nvPicPr>
        <xdr:cNvPr id="26" name="图片 2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547985" y="12866370"/>
          <a:ext cx="488442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41910</xdr:colOff>
      <xdr:row>61</xdr:row>
      <xdr:rowOff>202565</xdr:rowOff>
    </xdr:from>
    <xdr:to>
      <xdr:col>11</xdr:col>
      <xdr:colOff>0</xdr:colOff>
      <xdr:row>63</xdr:row>
      <xdr:rowOff>231775</xdr:rowOff>
    </xdr:to>
    <xdr:pic>
      <xdr:nvPicPr>
        <xdr:cNvPr id="27" name="图片 2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462260" y="14166215"/>
          <a:ext cx="497014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499110</xdr:colOff>
      <xdr:row>80</xdr:row>
      <xdr:rowOff>17780</xdr:rowOff>
    </xdr:from>
    <xdr:to>
      <xdr:col>10</xdr:col>
      <xdr:colOff>4623435</xdr:colOff>
      <xdr:row>84</xdr:row>
      <xdr:rowOff>161925</xdr:rowOff>
    </xdr:to>
    <xdr:pic>
      <xdr:nvPicPr>
        <xdr:cNvPr id="28" name="图片 2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919460" y="18229580"/>
          <a:ext cx="412432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41910</xdr:colOff>
      <xdr:row>51</xdr:row>
      <xdr:rowOff>45720</xdr:rowOff>
    </xdr:from>
    <xdr:to>
      <xdr:col>11</xdr:col>
      <xdr:colOff>0</xdr:colOff>
      <xdr:row>56</xdr:row>
      <xdr:rowOff>73025</xdr:rowOff>
    </xdr:to>
    <xdr:pic>
      <xdr:nvPicPr>
        <xdr:cNvPr id="29" name="图片 2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462260" y="11386820"/>
          <a:ext cx="4970145" cy="1075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800735</xdr:colOff>
      <xdr:row>25</xdr:row>
      <xdr:rowOff>59055</xdr:rowOff>
    </xdr:from>
    <xdr:to>
      <xdr:col>10</xdr:col>
      <xdr:colOff>4659630</xdr:colOff>
      <xdr:row>29</xdr:row>
      <xdr:rowOff>161290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21085" y="5323205"/>
          <a:ext cx="3858895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273050</xdr:colOff>
      <xdr:row>11</xdr:row>
      <xdr:rowOff>95250</xdr:rowOff>
    </xdr:from>
    <xdr:to>
      <xdr:col>10</xdr:col>
      <xdr:colOff>4554855</xdr:colOff>
      <xdr:row>15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93400" y="2425700"/>
          <a:ext cx="4281805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120650</xdr:colOff>
      <xdr:row>18</xdr:row>
      <xdr:rowOff>130810</xdr:rowOff>
    </xdr:from>
    <xdr:to>
      <xdr:col>11</xdr:col>
      <xdr:colOff>0</xdr:colOff>
      <xdr:row>23</xdr:row>
      <xdr:rowOff>73660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541000" y="3928110"/>
          <a:ext cx="489140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355600</xdr:colOff>
      <xdr:row>31</xdr:row>
      <xdr:rowOff>139700</xdr:rowOff>
    </xdr:from>
    <xdr:to>
      <xdr:col>10</xdr:col>
      <xdr:colOff>4522470</xdr:colOff>
      <xdr:row>35</xdr:row>
      <xdr:rowOff>81915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775950" y="6661150"/>
          <a:ext cx="4166870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105410</xdr:colOff>
      <xdr:row>37</xdr:row>
      <xdr:rowOff>144145</xdr:rowOff>
    </xdr:from>
    <xdr:to>
      <xdr:col>10</xdr:col>
      <xdr:colOff>4316730</xdr:colOff>
      <xdr:row>38</xdr:row>
      <xdr:rowOff>152400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525760" y="7922895"/>
          <a:ext cx="421132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361315</xdr:colOff>
      <xdr:row>2</xdr:row>
      <xdr:rowOff>68580</xdr:rowOff>
    </xdr:from>
    <xdr:to>
      <xdr:col>10</xdr:col>
      <xdr:colOff>4878705</xdr:colOff>
      <xdr:row>8</xdr:row>
      <xdr:rowOff>49530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781665" y="513080"/>
          <a:ext cx="4517390" cy="1238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461010</xdr:colOff>
      <xdr:row>42</xdr:row>
      <xdr:rowOff>155575</xdr:rowOff>
    </xdr:from>
    <xdr:to>
      <xdr:col>10</xdr:col>
      <xdr:colOff>4613910</xdr:colOff>
      <xdr:row>45</xdr:row>
      <xdr:rowOff>231775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881360" y="8982075"/>
          <a:ext cx="4152900" cy="90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508635</xdr:colOff>
      <xdr:row>46</xdr:row>
      <xdr:rowOff>126365</xdr:rowOff>
    </xdr:from>
    <xdr:to>
      <xdr:col>10</xdr:col>
      <xdr:colOff>4909185</xdr:colOff>
      <xdr:row>49</xdr:row>
      <xdr:rowOff>428625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928985" y="10159365"/>
          <a:ext cx="4400550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289560</xdr:colOff>
      <xdr:row>73</xdr:row>
      <xdr:rowOff>160655</xdr:rowOff>
    </xdr:from>
    <xdr:to>
      <xdr:col>10</xdr:col>
      <xdr:colOff>4947285</xdr:colOff>
      <xdr:row>78</xdr:row>
      <xdr:rowOff>200025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709910" y="16905605"/>
          <a:ext cx="4657725" cy="1087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222885</xdr:colOff>
      <xdr:row>65</xdr:row>
      <xdr:rowOff>75565</xdr:rowOff>
    </xdr:from>
    <xdr:to>
      <xdr:col>11</xdr:col>
      <xdr:colOff>0</xdr:colOff>
      <xdr:row>71</xdr:row>
      <xdr:rowOff>142240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643235" y="15144115"/>
          <a:ext cx="4789170" cy="1323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127635</xdr:colOff>
      <xdr:row>58</xdr:row>
      <xdr:rowOff>58420</xdr:rowOff>
    </xdr:from>
    <xdr:to>
      <xdr:col>11</xdr:col>
      <xdr:colOff>0</xdr:colOff>
      <xdr:row>60</xdr:row>
      <xdr:rowOff>225425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547985" y="12866370"/>
          <a:ext cx="488442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41910</xdr:colOff>
      <xdr:row>61</xdr:row>
      <xdr:rowOff>202565</xdr:rowOff>
    </xdr:from>
    <xdr:to>
      <xdr:col>11</xdr:col>
      <xdr:colOff>0</xdr:colOff>
      <xdr:row>63</xdr:row>
      <xdr:rowOff>231775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462260" y="14166215"/>
          <a:ext cx="497014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499110</xdr:colOff>
      <xdr:row>80</xdr:row>
      <xdr:rowOff>17780</xdr:rowOff>
    </xdr:from>
    <xdr:to>
      <xdr:col>10</xdr:col>
      <xdr:colOff>4623435</xdr:colOff>
      <xdr:row>84</xdr:row>
      <xdr:rowOff>161925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919460" y="18229580"/>
          <a:ext cx="412432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41910</xdr:colOff>
      <xdr:row>51</xdr:row>
      <xdr:rowOff>45720</xdr:rowOff>
    </xdr:from>
    <xdr:to>
      <xdr:col>11</xdr:col>
      <xdr:colOff>0</xdr:colOff>
      <xdr:row>56</xdr:row>
      <xdr:rowOff>73025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462260" y="11386820"/>
          <a:ext cx="4970145" cy="1075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10" t="s">
        <v>14</v>
      </c>
    </row>
    <row r="3" ht="16.5" spans="1:15">
      <c r="A3" s="135">
        <v>45439</v>
      </c>
      <c r="B3" s="15" t="s">
        <v>15</v>
      </c>
      <c r="C3" s="136">
        <v>54401</v>
      </c>
      <c r="D3" s="137" t="s">
        <v>16</v>
      </c>
      <c r="E3" s="136" t="s">
        <v>17</v>
      </c>
      <c r="F3" s="136" t="s">
        <v>18</v>
      </c>
      <c r="G3" s="138">
        <v>10500</v>
      </c>
      <c r="H3" s="138">
        <f t="shared" ref="H3:H32" si="0">G3-I3</f>
        <v>500</v>
      </c>
      <c r="I3" s="136">
        <v>10000</v>
      </c>
      <c r="J3" s="20">
        <v>0.368</v>
      </c>
      <c r="K3" s="139">
        <f t="shared" ref="K3:K35" si="1">I3*J3</f>
        <v>3680</v>
      </c>
      <c r="L3" s="12" t="s">
        <v>19</v>
      </c>
      <c r="M3" s="20">
        <v>21028</v>
      </c>
      <c r="N3" s="20">
        <v>0.368</v>
      </c>
      <c r="O3" s="20">
        <v>7738.304</v>
      </c>
    </row>
    <row r="4" ht="16.5" spans="1:15">
      <c r="A4" s="135"/>
      <c r="B4" s="15"/>
      <c r="C4" s="136"/>
      <c r="D4" s="137"/>
      <c r="E4" s="136"/>
      <c r="F4" s="140">
        <v>45476</v>
      </c>
      <c r="G4" s="138">
        <v>11582</v>
      </c>
      <c r="H4" s="138">
        <f t="shared" si="0"/>
        <v>554</v>
      </c>
      <c r="I4" s="136">
        <v>11028</v>
      </c>
      <c r="J4" s="20">
        <v>0.368</v>
      </c>
      <c r="K4" s="139">
        <f t="shared" si="1"/>
        <v>4058.304</v>
      </c>
      <c r="L4" s="141"/>
      <c r="M4" s="20"/>
      <c r="N4" s="20"/>
      <c r="O4" s="20"/>
    </row>
    <row r="5" ht="16.5" spans="1:15">
      <c r="A5" s="135"/>
      <c r="B5" s="15"/>
      <c r="C5" s="136"/>
      <c r="D5" s="137"/>
      <c r="E5" s="136"/>
      <c r="F5" s="136" t="s">
        <v>18</v>
      </c>
      <c r="G5" s="138">
        <v>10500</v>
      </c>
      <c r="H5" s="138">
        <f t="shared" si="0"/>
        <v>500</v>
      </c>
      <c r="I5" s="136">
        <v>10000</v>
      </c>
      <c r="J5" s="15">
        <f>0.042*8</f>
        <v>0.336</v>
      </c>
      <c r="K5" s="139">
        <f t="shared" si="1"/>
        <v>3360</v>
      </c>
      <c r="L5" s="139" t="s">
        <v>20</v>
      </c>
      <c r="M5" s="20">
        <v>21028</v>
      </c>
      <c r="N5" s="15">
        <f>0.042*8</f>
        <v>0.336</v>
      </c>
      <c r="O5" s="20">
        <v>7065.408</v>
      </c>
    </row>
    <row r="6" ht="16" customHeight="1" spans="1:15">
      <c r="A6" s="135"/>
      <c r="B6" s="15"/>
      <c r="C6" s="136"/>
      <c r="D6" s="137"/>
      <c r="E6" s="136"/>
      <c r="F6" s="140">
        <v>45476</v>
      </c>
      <c r="G6" s="138">
        <v>11583</v>
      </c>
      <c r="H6" s="138">
        <f t="shared" si="0"/>
        <v>555</v>
      </c>
      <c r="I6" s="136">
        <v>11028</v>
      </c>
      <c r="J6" s="15">
        <f>0.042*8</f>
        <v>0.336</v>
      </c>
      <c r="K6" s="139">
        <f t="shared" si="1"/>
        <v>3705.408</v>
      </c>
      <c r="L6" s="142"/>
      <c r="M6" s="20"/>
      <c r="N6" s="20"/>
      <c r="O6" s="20"/>
    </row>
    <row r="7" ht="16" customHeight="1" spans="1:15">
      <c r="A7" s="135"/>
      <c r="B7" s="15"/>
      <c r="C7" s="136"/>
      <c r="D7" s="137"/>
      <c r="E7" s="136"/>
      <c r="F7" s="140">
        <v>45476</v>
      </c>
      <c r="G7" s="138">
        <v>22079.4</v>
      </c>
      <c r="H7" s="138">
        <f t="shared" si="0"/>
        <v>1051.4</v>
      </c>
      <c r="I7" s="136">
        <v>21028</v>
      </c>
      <c r="J7" s="20">
        <v>0.294</v>
      </c>
      <c r="K7" s="139">
        <f t="shared" si="1"/>
        <v>6182.232</v>
      </c>
      <c r="L7" s="20" t="s">
        <v>21</v>
      </c>
      <c r="M7" s="20">
        <v>21028</v>
      </c>
      <c r="N7" s="20">
        <v>0.294</v>
      </c>
      <c r="O7" s="20">
        <v>6182.232</v>
      </c>
    </row>
    <row r="8" ht="16" customHeight="1" spans="1:15">
      <c r="A8" s="135"/>
      <c r="B8" s="15"/>
      <c r="C8" s="136"/>
      <c r="D8" s="137"/>
      <c r="E8" s="136"/>
      <c r="F8" s="140">
        <v>45476</v>
      </c>
      <c r="G8" s="138">
        <v>22079.4</v>
      </c>
      <c r="H8" s="138">
        <f t="shared" si="0"/>
        <v>1051.4</v>
      </c>
      <c r="I8" s="136">
        <v>21028</v>
      </c>
      <c r="J8" s="20">
        <v>0.116</v>
      </c>
      <c r="K8" s="139">
        <f t="shared" si="1"/>
        <v>2439.248</v>
      </c>
      <c r="L8" s="20" t="s">
        <v>22</v>
      </c>
      <c r="M8" s="20">
        <v>21028</v>
      </c>
      <c r="N8" s="20">
        <v>0.116</v>
      </c>
      <c r="O8" s="20">
        <v>2439.248</v>
      </c>
    </row>
    <row r="9" ht="16.5" spans="1:15">
      <c r="A9" s="135">
        <v>45439</v>
      </c>
      <c r="B9" s="15" t="s">
        <v>15</v>
      </c>
      <c r="C9" s="136">
        <v>54404</v>
      </c>
      <c r="D9" s="137" t="s">
        <v>23</v>
      </c>
      <c r="E9" s="136" t="s">
        <v>24</v>
      </c>
      <c r="F9" s="140">
        <v>45470</v>
      </c>
      <c r="G9" s="138">
        <f>I9*1.05</f>
        <v>31500</v>
      </c>
      <c r="H9" s="138">
        <f t="shared" si="0"/>
        <v>1500</v>
      </c>
      <c r="I9" s="136">
        <v>30000</v>
      </c>
      <c r="J9" s="20">
        <v>0.368</v>
      </c>
      <c r="K9" s="139">
        <f t="shared" si="1"/>
        <v>11040</v>
      </c>
      <c r="L9" s="12" t="s">
        <v>19</v>
      </c>
      <c r="M9" s="20">
        <v>31526</v>
      </c>
      <c r="N9" s="20">
        <v>0.368</v>
      </c>
      <c r="O9" s="20">
        <v>11601.568</v>
      </c>
    </row>
    <row r="10" ht="16.5" spans="1:15">
      <c r="A10" s="135"/>
      <c r="B10" s="15"/>
      <c r="C10" s="136"/>
      <c r="D10" s="137"/>
      <c r="E10" s="136"/>
      <c r="F10" s="140">
        <v>45476</v>
      </c>
      <c r="G10" s="138">
        <v>1605</v>
      </c>
      <c r="H10" s="138">
        <f t="shared" si="0"/>
        <v>79</v>
      </c>
      <c r="I10" s="136">
        <v>1526</v>
      </c>
      <c r="J10" s="20">
        <v>0.368</v>
      </c>
      <c r="K10" s="139">
        <f t="shared" si="1"/>
        <v>561.568</v>
      </c>
      <c r="L10" s="141"/>
      <c r="M10" s="20"/>
      <c r="N10" s="15"/>
      <c r="O10" s="20"/>
    </row>
    <row r="11" ht="16.5" spans="1:15">
      <c r="A11" s="135"/>
      <c r="B11" s="15"/>
      <c r="C11" s="136"/>
      <c r="D11" s="137"/>
      <c r="E11" s="136"/>
      <c r="F11" s="140">
        <v>45470</v>
      </c>
      <c r="G11" s="138">
        <f>I11*1.05</f>
        <v>31500</v>
      </c>
      <c r="H11" s="138">
        <f t="shared" si="0"/>
        <v>1500</v>
      </c>
      <c r="I11" s="136">
        <v>30000</v>
      </c>
      <c r="J11" s="15">
        <f>0.042*6</f>
        <v>0.252</v>
      </c>
      <c r="K11" s="139">
        <f t="shared" si="1"/>
        <v>7560</v>
      </c>
      <c r="L11" s="139" t="s">
        <v>25</v>
      </c>
      <c r="M11" s="20">
        <f>189156/6</f>
        <v>31526</v>
      </c>
      <c r="N11" s="15">
        <f>0.042*6</f>
        <v>0.252</v>
      </c>
      <c r="O11" s="20">
        <v>7944.552</v>
      </c>
    </row>
    <row r="12" ht="16" customHeight="1" spans="1:15">
      <c r="A12" s="135"/>
      <c r="B12" s="15"/>
      <c r="C12" s="136"/>
      <c r="D12" s="137"/>
      <c r="E12" s="136"/>
      <c r="F12" s="140">
        <v>45476</v>
      </c>
      <c r="G12" s="138">
        <v>1607</v>
      </c>
      <c r="H12" s="138">
        <f t="shared" si="0"/>
        <v>81</v>
      </c>
      <c r="I12" s="136">
        <v>1526</v>
      </c>
      <c r="J12" s="15">
        <f>0.042*6</f>
        <v>0.252</v>
      </c>
      <c r="K12" s="139">
        <f t="shared" si="1"/>
        <v>384.552</v>
      </c>
      <c r="L12" s="142"/>
      <c r="M12" s="20"/>
      <c r="N12" s="20"/>
      <c r="O12" s="20"/>
    </row>
    <row r="13" ht="16" customHeight="1" spans="1:15">
      <c r="A13" s="135"/>
      <c r="B13" s="15"/>
      <c r="C13" s="136"/>
      <c r="D13" s="137"/>
      <c r="E13" s="136"/>
      <c r="F13" s="140">
        <v>45476</v>
      </c>
      <c r="G13" s="138">
        <v>33102</v>
      </c>
      <c r="H13" s="138">
        <f t="shared" si="0"/>
        <v>1576</v>
      </c>
      <c r="I13" s="136">
        <v>31526</v>
      </c>
      <c r="J13" s="20">
        <v>0.294</v>
      </c>
      <c r="K13" s="139">
        <f t="shared" si="1"/>
        <v>9268.644</v>
      </c>
      <c r="L13" s="20" t="s">
        <v>21</v>
      </c>
      <c r="M13" s="20">
        <v>31526</v>
      </c>
      <c r="N13" s="20">
        <v>0.294</v>
      </c>
      <c r="O13" s="20">
        <v>9268.644</v>
      </c>
    </row>
    <row r="14" ht="16" customHeight="1" spans="1:15">
      <c r="A14" s="135"/>
      <c r="B14" s="15"/>
      <c r="C14" s="136"/>
      <c r="D14" s="137"/>
      <c r="E14" s="136"/>
      <c r="F14" s="140">
        <v>45476</v>
      </c>
      <c r="G14" s="138">
        <v>33102</v>
      </c>
      <c r="H14" s="138">
        <f t="shared" si="0"/>
        <v>1576</v>
      </c>
      <c r="I14" s="136">
        <v>31526</v>
      </c>
      <c r="J14" s="20">
        <v>0.116</v>
      </c>
      <c r="K14" s="139">
        <f t="shared" si="1"/>
        <v>3657.016</v>
      </c>
      <c r="L14" s="20" t="s">
        <v>22</v>
      </c>
      <c r="M14" s="20">
        <v>31526</v>
      </c>
      <c r="N14" s="20">
        <v>0.116</v>
      </c>
      <c r="O14" s="20">
        <v>3657.016</v>
      </c>
    </row>
    <row r="15" ht="32" customHeight="1" spans="1:15">
      <c r="A15" s="135">
        <v>45477</v>
      </c>
      <c r="B15" s="15" t="s">
        <v>26</v>
      </c>
      <c r="C15" s="136">
        <v>58394</v>
      </c>
      <c r="D15" s="137" t="s">
        <v>27</v>
      </c>
      <c r="E15" s="136" t="s">
        <v>28</v>
      </c>
      <c r="F15" s="140">
        <v>45484</v>
      </c>
      <c r="G15" s="138">
        <f>I15*1.05</f>
        <v>771.75</v>
      </c>
      <c r="H15" s="138">
        <f t="shared" si="0"/>
        <v>36.75</v>
      </c>
      <c r="I15" s="136">
        <v>735</v>
      </c>
      <c r="J15" s="20">
        <v>0.254</v>
      </c>
      <c r="K15" s="139">
        <f t="shared" si="1"/>
        <v>186.69</v>
      </c>
      <c r="L15" s="20" t="s">
        <v>29</v>
      </c>
      <c r="M15" s="20">
        <v>735</v>
      </c>
      <c r="N15" s="20">
        <v>0.254</v>
      </c>
      <c r="O15" s="20">
        <v>186.69</v>
      </c>
    </row>
    <row r="16" ht="32" customHeight="1" spans="1:15">
      <c r="A16" s="135"/>
      <c r="B16" s="15"/>
      <c r="C16" s="136"/>
      <c r="D16" s="137"/>
      <c r="E16" s="136"/>
      <c r="F16" s="140">
        <v>45484</v>
      </c>
      <c r="G16" s="138">
        <f>I16*1.05</f>
        <v>771.75</v>
      </c>
      <c r="H16" s="138">
        <f t="shared" si="0"/>
        <v>36.75</v>
      </c>
      <c r="I16" s="136">
        <v>735</v>
      </c>
      <c r="J16" s="20">
        <v>0.15</v>
      </c>
      <c r="K16" s="139">
        <f t="shared" si="1"/>
        <v>110.25</v>
      </c>
      <c r="L16" s="20" t="s">
        <v>30</v>
      </c>
      <c r="M16" s="20">
        <v>735</v>
      </c>
      <c r="N16" s="20">
        <v>0.15</v>
      </c>
      <c r="O16" s="20">
        <v>110.25</v>
      </c>
    </row>
    <row r="17" ht="32" customHeight="1" spans="1:15">
      <c r="A17" s="135"/>
      <c r="B17" s="15"/>
      <c r="C17" s="136"/>
      <c r="D17" s="137"/>
      <c r="E17" s="136"/>
      <c r="F17" s="140">
        <v>45484</v>
      </c>
      <c r="G17" s="138">
        <v>2200</v>
      </c>
      <c r="H17" s="138">
        <f t="shared" si="0"/>
        <v>100</v>
      </c>
      <c r="I17" s="136">
        <v>2100</v>
      </c>
      <c r="J17" s="20">
        <v>0.12</v>
      </c>
      <c r="K17" s="139">
        <f t="shared" si="1"/>
        <v>252</v>
      </c>
      <c r="L17" s="139" t="s">
        <v>31</v>
      </c>
      <c r="M17" s="20"/>
      <c r="N17" s="20"/>
      <c r="O17" s="20"/>
    </row>
    <row r="18" ht="32" customHeight="1" spans="1:15">
      <c r="A18" s="135"/>
      <c r="B18" s="15"/>
      <c r="C18" s="136"/>
      <c r="D18" s="137"/>
      <c r="E18" s="136"/>
      <c r="F18" s="140">
        <v>45485</v>
      </c>
      <c r="G18" s="138">
        <v>30500</v>
      </c>
      <c r="H18" s="138">
        <f t="shared" si="0"/>
        <v>8</v>
      </c>
      <c r="I18" s="136">
        <v>30492</v>
      </c>
      <c r="J18" s="20">
        <v>0.12</v>
      </c>
      <c r="K18" s="139">
        <f t="shared" si="1"/>
        <v>3659.04</v>
      </c>
      <c r="L18" s="142"/>
      <c r="M18" s="20">
        <v>32592</v>
      </c>
      <c r="N18" s="20">
        <v>0.12</v>
      </c>
      <c r="O18" s="20">
        <v>3911.04</v>
      </c>
    </row>
    <row r="19" ht="16" customHeight="1" spans="1:15">
      <c r="A19" s="11">
        <v>45477</v>
      </c>
      <c r="B19" s="12" t="s">
        <v>26</v>
      </c>
      <c r="C19" s="13">
        <v>58401</v>
      </c>
      <c r="D19" s="14" t="s">
        <v>32</v>
      </c>
      <c r="E19" s="13" t="s">
        <v>33</v>
      </c>
      <c r="F19" s="143">
        <v>45484</v>
      </c>
      <c r="G19" s="138">
        <v>561</v>
      </c>
      <c r="H19" s="138">
        <f t="shared" si="0"/>
        <v>26</v>
      </c>
      <c r="I19" s="13">
        <v>535</v>
      </c>
      <c r="J19" s="20">
        <v>0.254</v>
      </c>
      <c r="K19" s="139">
        <f t="shared" si="1"/>
        <v>135.89</v>
      </c>
      <c r="L19" s="20" t="s">
        <v>29</v>
      </c>
      <c r="M19" s="20">
        <v>535</v>
      </c>
      <c r="N19" s="20">
        <v>0.254</v>
      </c>
      <c r="O19" s="20">
        <v>135.89</v>
      </c>
    </row>
    <row r="20" ht="16" customHeight="1" spans="1:15">
      <c r="A20" s="16"/>
      <c r="B20" s="17"/>
      <c r="C20" s="18"/>
      <c r="D20" s="19"/>
      <c r="E20" s="18"/>
      <c r="F20" s="143">
        <v>45484</v>
      </c>
      <c r="G20" s="138">
        <v>561</v>
      </c>
      <c r="H20" s="138">
        <f t="shared" si="0"/>
        <v>26</v>
      </c>
      <c r="I20" s="13">
        <v>535</v>
      </c>
      <c r="J20" s="20">
        <v>0.15</v>
      </c>
      <c r="K20" s="139">
        <f t="shared" si="1"/>
        <v>80.25</v>
      </c>
      <c r="L20" s="20" t="s">
        <v>30</v>
      </c>
      <c r="M20" s="20">
        <v>535</v>
      </c>
      <c r="N20" s="20">
        <v>0.15</v>
      </c>
      <c r="O20" s="20">
        <v>80.25</v>
      </c>
    </row>
    <row r="21" ht="16" customHeight="1" spans="1:15">
      <c r="A21" s="135">
        <v>45483</v>
      </c>
      <c r="B21" s="15" t="s">
        <v>26</v>
      </c>
      <c r="C21" s="136" t="s">
        <v>34</v>
      </c>
      <c r="D21" s="137" t="s">
        <v>35</v>
      </c>
      <c r="E21" s="136" t="s">
        <v>36</v>
      </c>
      <c r="F21" s="140">
        <v>45491</v>
      </c>
      <c r="G21" s="138">
        <f t="shared" ref="G21:G32" si="2">I21*1.05</f>
        <v>25213.65</v>
      </c>
      <c r="H21" s="138">
        <f t="shared" si="0"/>
        <v>1200.65</v>
      </c>
      <c r="I21" s="13">
        <v>24013</v>
      </c>
      <c r="J21" s="20">
        <v>0.368</v>
      </c>
      <c r="K21" s="139">
        <f t="shared" si="1"/>
        <v>8836.784</v>
      </c>
      <c r="L21" s="20" t="s">
        <v>37</v>
      </c>
      <c r="M21" s="20">
        <v>24013</v>
      </c>
      <c r="N21" s="20">
        <v>0.368</v>
      </c>
      <c r="O21" s="20">
        <v>8836.784</v>
      </c>
    </row>
    <row r="22" ht="16" customHeight="1" spans="1:15">
      <c r="A22" s="135"/>
      <c r="B22" s="15"/>
      <c r="C22" s="136"/>
      <c r="D22" s="137"/>
      <c r="E22" s="136"/>
      <c r="F22" s="140">
        <v>45491</v>
      </c>
      <c r="G22" s="138">
        <f t="shared" si="2"/>
        <v>25213.65</v>
      </c>
      <c r="H22" s="138">
        <f t="shared" si="0"/>
        <v>1200.65</v>
      </c>
      <c r="I22" s="13">
        <v>24013</v>
      </c>
      <c r="J22" s="15">
        <f>0.042*7</f>
        <v>0.294</v>
      </c>
      <c r="K22" s="139">
        <f t="shared" si="1"/>
        <v>7059.822</v>
      </c>
      <c r="L22" s="20" t="s">
        <v>38</v>
      </c>
      <c r="M22" s="20">
        <f>168091/7</f>
        <v>24013</v>
      </c>
      <c r="N22" s="15">
        <f>0.042*7</f>
        <v>0.294</v>
      </c>
      <c r="O22" s="20">
        <v>7059.822</v>
      </c>
    </row>
    <row r="23" ht="16" customHeight="1" spans="1:15">
      <c r="A23" s="135"/>
      <c r="B23" s="15"/>
      <c r="C23" s="136"/>
      <c r="D23" s="137"/>
      <c r="E23" s="136"/>
      <c r="F23" s="140">
        <v>45491</v>
      </c>
      <c r="G23" s="138">
        <f t="shared" si="2"/>
        <v>25213.65</v>
      </c>
      <c r="H23" s="138">
        <f t="shared" si="0"/>
        <v>1200.65</v>
      </c>
      <c r="I23" s="13">
        <v>24013</v>
      </c>
      <c r="J23" s="20">
        <v>0.294</v>
      </c>
      <c r="K23" s="139">
        <f t="shared" si="1"/>
        <v>7059.822</v>
      </c>
      <c r="L23" s="20" t="s">
        <v>21</v>
      </c>
      <c r="M23" s="20">
        <v>24013</v>
      </c>
      <c r="N23" s="20">
        <v>0.294</v>
      </c>
      <c r="O23" s="20">
        <v>7059.822</v>
      </c>
    </row>
    <row r="24" ht="16" customHeight="1" spans="1:15">
      <c r="A24" s="135"/>
      <c r="B24" s="15"/>
      <c r="C24" s="136"/>
      <c r="D24" s="137"/>
      <c r="E24" s="136"/>
      <c r="F24" s="140">
        <v>45491</v>
      </c>
      <c r="G24" s="138">
        <f t="shared" si="2"/>
        <v>25213.65</v>
      </c>
      <c r="H24" s="138">
        <f t="shared" si="0"/>
        <v>1200.65</v>
      </c>
      <c r="I24" s="13">
        <v>24013</v>
      </c>
      <c r="J24" s="20">
        <v>0.116</v>
      </c>
      <c r="K24" s="139">
        <f t="shared" si="1"/>
        <v>2785.508</v>
      </c>
      <c r="L24" s="20" t="s">
        <v>22</v>
      </c>
      <c r="M24" s="20">
        <v>24013</v>
      </c>
      <c r="N24" s="20">
        <v>0.116</v>
      </c>
      <c r="O24" s="20">
        <v>2785.508</v>
      </c>
    </row>
    <row r="25" ht="16" customHeight="1" spans="1:15">
      <c r="A25" s="135">
        <v>45492</v>
      </c>
      <c r="B25" s="15" t="s">
        <v>39</v>
      </c>
      <c r="C25" s="136" t="s">
        <v>40</v>
      </c>
      <c r="D25" s="137" t="s">
        <v>41</v>
      </c>
      <c r="E25" s="136" t="s">
        <v>42</v>
      </c>
      <c r="F25" s="140">
        <v>45503</v>
      </c>
      <c r="G25" s="138">
        <f t="shared" si="2"/>
        <v>10500</v>
      </c>
      <c r="H25" s="138">
        <f t="shared" si="0"/>
        <v>500</v>
      </c>
      <c r="I25" s="13">
        <v>10000</v>
      </c>
      <c r="J25" s="20">
        <v>0.368</v>
      </c>
      <c r="K25" s="139">
        <f t="shared" si="1"/>
        <v>3680</v>
      </c>
      <c r="L25" s="20" t="s">
        <v>37</v>
      </c>
      <c r="M25" s="20">
        <v>10000</v>
      </c>
      <c r="N25" s="20">
        <v>0.368</v>
      </c>
      <c r="O25" s="20">
        <v>3680</v>
      </c>
    </row>
    <row r="26" ht="16" customHeight="1" spans="1:15">
      <c r="A26" s="135"/>
      <c r="B26" s="15"/>
      <c r="C26" s="136"/>
      <c r="D26" s="137"/>
      <c r="E26" s="136"/>
      <c r="F26" s="140">
        <v>45503</v>
      </c>
      <c r="G26" s="138">
        <f t="shared" si="2"/>
        <v>10500</v>
      </c>
      <c r="H26" s="138">
        <f t="shared" si="0"/>
        <v>500</v>
      </c>
      <c r="I26" s="13">
        <v>10000</v>
      </c>
      <c r="J26" s="15">
        <f>0.042*7</f>
        <v>0.294</v>
      </c>
      <c r="K26" s="139">
        <f t="shared" si="1"/>
        <v>2940</v>
      </c>
      <c r="L26" s="20" t="s">
        <v>38</v>
      </c>
      <c r="M26" s="20">
        <f>70000/7</f>
        <v>10000</v>
      </c>
      <c r="N26" s="15">
        <f>0.042*7</f>
        <v>0.294</v>
      </c>
      <c r="O26" s="20">
        <v>2940</v>
      </c>
    </row>
    <row r="27" ht="16" customHeight="1" spans="1:15">
      <c r="A27" s="135"/>
      <c r="B27" s="15"/>
      <c r="C27" s="136"/>
      <c r="D27" s="137"/>
      <c r="E27" s="136"/>
      <c r="F27" s="140">
        <v>45503</v>
      </c>
      <c r="G27" s="138">
        <f t="shared" si="2"/>
        <v>10500</v>
      </c>
      <c r="H27" s="138">
        <f t="shared" si="0"/>
        <v>500</v>
      </c>
      <c r="I27" s="13">
        <v>10000</v>
      </c>
      <c r="J27" s="13">
        <v>0.294</v>
      </c>
      <c r="K27" s="13">
        <f t="shared" si="1"/>
        <v>2940</v>
      </c>
      <c r="L27" s="13" t="s">
        <v>21</v>
      </c>
      <c r="M27" s="13">
        <v>10000</v>
      </c>
      <c r="N27" s="13">
        <v>0.294</v>
      </c>
      <c r="O27" s="13">
        <v>2940</v>
      </c>
    </row>
    <row r="28" ht="16" customHeight="1" spans="1:15">
      <c r="A28" s="135"/>
      <c r="B28" s="15"/>
      <c r="C28" s="136"/>
      <c r="D28" s="137"/>
      <c r="E28" s="136"/>
      <c r="F28" s="140">
        <v>45503</v>
      </c>
      <c r="G28" s="138">
        <f t="shared" si="2"/>
        <v>10500</v>
      </c>
      <c r="H28" s="138">
        <f t="shared" si="0"/>
        <v>500</v>
      </c>
      <c r="I28" s="13">
        <v>10000</v>
      </c>
      <c r="J28" s="13">
        <v>0.116</v>
      </c>
      <c r="K28" s="13">
        <f t="shared" si="1"/>
        <v>1160</v>
      </c>
      <c r="L28" s="13" t="s">
        <v>22</v>
      </c>
      <c r="M28" s="13">
        <v>10000</v>
      </c>
      <c r="N28" s="13">
        <v>0.116</v>
      </c>
      <c r="O28" s="13">
        <v>1160</v>
      </c>
    </row>
    <row r="29" ht="16" customHeight="1" spans="1:15">
      <c r="A29" s="135">
        <v>45499</v>
      </c>
      <c r="B29" s="15" t="s">
        <v>39</v>
      </c>
      <c r="C29" s="136" t="s">
        <v>43</v>
      </c>
      <c r="D29" s="137" t="s">
        <v>44</v>
      </c>
      <c r="E29" s="136" t="s">
        <v>45</v>
      </c>
      <c r="F29" s="140">
        <v>45503</v>
      </c>
      <c r="G29" s="138">
        <f t="shared" si="2"/>
        <v>9765</v>
      </c>
      <c r="H29" s="138">
        <f t="shared" si="0"/>
        <v>465</v>
      </c>
      <c r="I29" s="13">
        <v>9300</v>
      </c>
      <c r="J29" s="13">
        <v>0.368</v>
      </c>
      <c r="K29" s="13">
        <f t="shared" si="1"/>
        <v>3422.4</v>
      </c>
      <c r="L29" s="13" t="s">
        <v>37</v>
      </c>
      <c r="M29" s="13">
        <v>9300</v>
      </c>
      <c r="N29" s="13">
        <v>0.368</v>
      </c>
      <c r="O29" s="13">
        <v>3422.4</v>
      </c>
    </row>
    <row r="30" ht="16" customHeight="1" spans="1:15">
      <c r="A30" s="135"/>
      <c r="B30" s="15"/>
      <c r="C30" s="136"/>
      <c r="D30" s="137"/>
      <c r="E30" s="136"/>
      <c r="F30" s="140">
        <v>45503</v>
      </c>
      <c r="G30" s="138">
        <f t="shared" si="2"/>
        <v>9765</v>
      </c>
      <c r="H30" s="138">
        <f t="shared" si="0"/>
        <v>465</v>
      </c>
      <c r="I30" s="13">
        <v>9300</v>
      </c>
      <c r="J30" s="13">
        <f>0.042*7</f>
        <v>0.294</v>
      </c>
      <c r="K30" s="13">
        <f t="shared" si="1"/>
        <v>2734.2</v>
      </c>
      <c r="L30" s="13" t="s">
        <v>38</v>
      </c>
      <c r="M30" s="13">
        <f>65100/7</f>
        <v>9300</v>
      </c>
      <c r="N30" s="13">
        <f>0.042*7</f>
        <v>0.294</v>
      </c>
      <c r="O30" s="13">
        <v>2734.2</v>
      </c>
    </row>
    <row r="31" ht="16" customHeight="1" spans="1:15">
      <c r="A31" s="135"/>
      <c r="B31" s="15"/>
      <c r="C31" s="136"/>
      <c r="D31" s="137"/>
      <c r="E31" s="136"/>
      <c r="F31" s="140">
        <v>45506</v>
      </c>
      <c r="G31" s="138">
        <f t="shared" si="2"/>
        <v>9765</v>
      </c>
      <c r="H31" s="138">
        <f t="shared" si="0"/>
        <v>465</v>
      </c>
      <c r="I31" s="13">
        <v>9300</v>
      </c>
      <c r="J31" s="13">
        <v>0.294</v>
      </c>
      <c r="K31" s="13">
        <f t="shared" si="1"/>
        <v>2734.2</v>
      </c>
      <c r="L31" s="13" t="s">
        <v>21</v>
      </c>
      <c r="M31" s="13">
        <v>9300</v>
      </c>
      <c r="N31" s="13">
        <v>0.294</v>
      </c>
      <c r="O31" s="13">
        <v>2734.2</v>
      </c>
    </row>
    <row r="32" ht="16" customHeight="1" spans="1:15">
      <c r="A32" s="135"/>
      <c r="B32" s="15"/>
      <c r="C32" s="136"/>
      <c r="D32" s="137"/>
      <c r="E32" s="136"/>
      <c r="F32" s="140">
        <v>45506</v>
      </c>
      <c r="G32" s="138">
        <f t="shared" si="2"/>
        <v>9765</v>
      </c>
      <c r="H32" s="138">
        <f t="shared" si="0"/>
        <v>465</v>
      </c>
      <c r="I32" s="13">
        <v>9300</v>
      </c>
      <c r="J32" s="13">
        <v>0.116</v>
      </c>
      <c r="K32" s="13">
        <f t="shared" si="1"/>
        <v>1078.8</v>
      </c>
      <c r="L32" s="13" t="s">
        <v>22</v>
      </c>
      <c r="M32" s="13">
        <v>9300</v>
      </c>
      <c r="N32" s="13">
        <v>0.116</v>
      </c>
      <c r="O32" s="13">
        <v>1078.8</v>
      </c>
    </row>
    <row r="33" ht="49.5" spans="1:15">
      <c r="A33" s="144">
        <v>45439</v>
      </c>
      <c r="B33" s="132" t="s">
        <v>15</v>
      </c>
      <c r="C33" s="145">
        <v>54401</v>
      </c>
      <c r="D33" s="146" t="s">
        <v>16</v>
      </c>
      <c r="E33" s="145" t="s">
        <v>17</v>
      </c>
      <c r="F33" s="136" t="s">
        <v>46</v>
      </c>
      <c r="G33" s="13">
        <v>0</v>
      </c>
      <c r="H33" s="13">
        <v>0</v>
      </c>
      <c r="I33" s="13">
        <v>10000</v>
      </c>
      <c r="J33" s="15">
        <v>0.042</v>
      </c>
      <c r="K33" s="139">
        <f t="shared" si="1"/>
        <v>420</v>
      </c>
      <c r="L33" s="20" t="s">
        <v>47</v>
      </c>
      <c r="M33" s="20">
        <v>10000</v>
      </c>
      <c r="N33" s="15">
        <v>0.042</v>
      </c>
      <c r="O33" s="20">
        <v>420</v>
      </c>
    </row>
    <row r="34" ht="49.5" spans="1:15">
      <c r="A34" s="144">
        <v>45439</v>
      </c>
      <c r="B34" s="132" t="s">
        <v>15</v>
      </c>
      <c r="C34" s="145">
        <v>54404</v>
      </c>
      <c r="D34" s="146" t="s">
        <v>23</v>
      </c>
      <c r="E34" s="145" t="s">
        <v>24</v>
      </c>
      <c r="F34" s="136" t="s">
        <v>46</v>
      </c>
      <c r="G34" s="13">
        <v>0</v>
      </c>
      <c r="H34" s="13">
        <v>0</v>
      </c>
      <c r="I34" s="13">
        <v>30000</v>
      </c>
      <c r="J34" s="15">
        <v>0.042</v>
      </c>
      <c r="K34" s="139">
        <f t="shared" si="1"/>
        <v>1260</v>
      </c>
      <c r="L34" s="20" t="s">
        <v>47</v>
      </c>
      <c r="M34" s="20">
        <v>30000</v>
      </c>
      <c r="N34" s="15">
        <v>0.042</v>
      </c>
      <c r="O34" s="20">
        <v>1260</v>
      </c>
    </row>
    <row r="35" ht="66" spans="1:15">
      <c r="A35" s="135">
        <v>45477</v>
      </c>
      <c r="B35" s="15" t="s">
        <v>26</v>
      </c>
      <c r="C35" s="136">
        <v>58401</v>
      </c>
      <c r="D35" s="137" t="s">
        <v>32</v>
      </c>
      <c r="E35" s="136" t="s">
        <v>33</v>
      </c>
      <c r="F35" s="140">
        <v>45484</v>
      </c>
      <c r="G35" s="138">
        <v>32552</v>
      </c>
      <c r="H35" s="138">
        <f>G35-I35</f>
        <v>1550</v>
      </c>
      <c r="I35" s="13">
        <v>31002</v>
      </c>
      <c r="J35" s="20">
        <v>0.1</v>
      </c>
      <c r="K35" s="139">
        <f t="shared" si="1"/>
        <v>3100.2</v>
      </c>
      <c r="L35" s="20" t="s">
        <v>48</v>
      </c>
      <c r="M35" s="20">
        <v>31002</v>
      </c>
      <c r="N35" s="20">
        <v>0.1</v>
      </c>
      <c r="O35" s="20">
        <v>3100.2</v>
      </c>
    </row>
    <row r="36" ht="17.5" spans="1:15">
      <c r="A36" s="21" t="s">
        <v>49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  <c r="O36" s="36">
        <f>SUM(O3:O35)</f>
        <v>111532.828</v>
      </c>
    </row>
    <row r="37" ht="17.5" spans="1: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1"/>
  <sheetViews>
    <sheetView tabSelected="1" topLeftCell="E1" workbookViewId="0">
      <selection activeCell="K98" sqref="K98"/>
    </sheetView>
  </sheetViews>
  <sheetFormatPr defaultColWidth="8.72727272727273" defaultRowHeight="14"/>
  <cols>
    <col min="1" max="1" width="13.1818181818182" hidden="1" customWidth="1"/>
    <col min="2" max="2" width="10.7272727272727" hidden="1" customWidth="1"/>
    <col min="3" max="3" width="8.27272727272727" style="24" hidden="1" customWidth="1"/>
    <col min="4" max="4" width="24.0909090909091" customWidth="1"/>
    <col min="5" max="5" width="33.6363636363636" customWidth="1"/>
    <col min="6" max="6" width="17.3636363636364" style="25" hidden="1" customWidth="1"/>
    <col min="7" max="7" width="56.0909090909091" customWidth="1"/>
    <col min="8" max="8" width="9.45454545454546" customWidth="1"/>
    <col min="9" max="9" width="12.3636363636364" customWidth="1"/>
    <col min="10" max="10" width="13.5454545454545" customWidth="1"/>
    <col min="11" max="11" width="71.7545454545455" customWidth="1"/>
    <col min="12" max="12" width="14.7545454545455" customWidth="1"/>
    <col min="13" max="13" width="10.5454545454545"/>
    <col min="15" max="15" width="9.54545454545454"/>
  </cols>
  <sheetData>
    <row r="1" s="1" customFormat="1" ht="21" spans="1:15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  <c r="K1" s="1" t="s">
        <v>51</v>
      </c>
      <c r="L1" s="1" t="s">
        <v>52</v>
      </c>
      <c r="M1" s="1" t="s">
        <v>53</v>
      </c>
      <c r="N1" s="97" t="s">
        <v>54</v>
      </c>
    </row>
    <row r="2" s="1" customFormat="1" customHeight="1" spans="1:15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55</v>
      </c>
      <c r="K2" s="98"/>
      <c r="L2" s="99" t="s">
        <v>56</v>
      </c>
      <c r="M2" s="98">
        <f>5184.55+4355.02+5184.55+1849.68+2280</f>
        <v>18853.8</v>
      </c>
      <c r="N2" s="100" t="s">
        <v>57</v>
      </c>
    </row>
    <row r="3" s="1" customFormat="1" ht="16.5" customHeight="1" spans="1:15">
      <c r="A3" s="55">
        <v>45524</v>
      </c>
      <c r="B3" s="34" t="s">
        <v>39</v>
      </c>
      <c r="C3" s="29">
        <v>61802</v>
      </c>
      <c r="D3" s="56" t="s">
        <v>58</v>
      </c>
      <c r="E3" s="29" t="s">
        <v>59</v>
      </c>
      <c r="F3" s="34" t="s">
        <v>60</v>
      </c>
      <c r="G3" s="35" t="s">
        <v>37</v>
      </c>
      <c r="H3" s="35">
        <v>6000</v>
      </c>
      <c r="I3" s="57">
        <v>0.368</v>
      </c>
      <c r="J3" s="35">
        <f t="shared" ref="J3:J66" si="0">H3*I3</f>
        <v>2208</v>
      </c>
      <c r="K3" s="25"/>
      <c r="L3" s="102"/>
      <c r="M3" s="103"/>
      <c r="N3" s="104"/>
    </row>
    <row r="4" s="1" customFormat="1" ht="16.5" spans="1:15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35">
        <f t="shared" si="0"/>
        <v>1764</v>
      </c>
      <c r="K4" s="25"/>
      <c r="L4" s="102"/>
      <c r="M4" s="103"/>
      <c r="N4" s="104"/>
      <c r="O4" s="1">
        <f>5184.55+4355.02+5184.55+1849.68+2280</f>
        <v>18853.8</v>
      </c>
    </row>
    <row r="5" s="1" customFormat="1" ht="16.5" spans="1:15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35">
        <f t="shared" si="0"/>
        <v>1764</v>
      </c>
      <c r="K5" s="25"/>
      <c r="L5" s="102"/>
      <c r="M5" s="103"/>
      <c r="N5" s="104"/>
    </row>
    <row r="6" s="1" customFormat="1" ht="16.5" spans="1:15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35">
        <f t="shared" si="0"/>
        <v>696</v>
      </c>
      <c r="K6" s="25"/>
      <c r="L6" s="102"/>
      <c r="M6" s="103"/>
      <c r="N6" s="104"/>
    </row>
    <row r="7" s="1" customFormat="1" ht="16.5" spans="1:15">
      <c r="A7" s="62">
        <v>45679</v>
      </c>
      <c r="B7" s="34" t="s">
        <v>39</v>
      </c>
      <c r="C7" s="29" t="s">
        <v>43</v>
      </c>
      <c r="D7" s="30" t="s">
        <v>61</v>
      </c>
      <c r="E7" s="39" t="s">
        <v>43</v>
      </c>
      <c r="F7" s="29" t="s">
        <v>62</v>
      </c>
      <c r="G7" s="32" t="s">
        <v>63</v>
      </c>
      <c r="H7" s="32">
        <v>2000</v>
      </c>
      <c r="I7" s="32">
        <v>0.05</v>
      </c>
      <c r="J7" s="35">
        <f t="shared" si="0"/>
        <v>100</v>
      </c>
      <c r="K7" s="25"/>
      <c r="L7" s="102"/>
      <c r="M7" s="103"/>
      <c r="N7" s="104"/>
    </row>
    <row r="8" ht="16.5" spans="1:15">
      <c r="A8" s="28">
        <v>45841</v>
      </c>
      <c r="B8" s="28" t="s">
        <v>39</v>
      </c>
      <c r="C8" s="28" t="s">
        <v>64</v>
      </c>
      <c r="D8" s="83" t="s">
        <v>65</v>
      </c>
      <c r="E8" s="28" t="s">
        <v>66</v>
      </c>
      <c r="F8" s="87" t="s">
        <v>67</v>
      </c>
      <c r="G8" s="34" t="s">
        <v>68</v>
      </c>
      <c r="H8" s="34">
        <v>5150</v>
      </c>
      <c r="I8" s="68">
        <v>1.07</v>
      </c>
      <c r="J8" s="35">
        <f t="shared" si="0"/>
        <v>5510.5</v>
      </c>
      <c r="K8" s="25"/>
      <c r="L8" s="102"/>
      <c r="M8" s="103"/>
      <c r="N8" s="104"/>
    </row>
    <row r="9" ht="16.5" spans="1:15">
      <c r="A9" s="28"/>
      <c r="B9" s="28"/>
      <c r="C9" s="28"/>
      <c r="D9" s="83"/>
      <c r="E9" s="28"/>
      <c r="F9" s="88"/>
      <c r="G9" s="34" t="s">
        <v>69</v>
      </c>
      <c r="H9" s="34">
        <v>52</v>
      </c>
      <c r="I9" s="68">
        <v>0</v>
      </c>
      <c r="J9" s="35">
        <f t="shared" si="0"/>
        <v>0</v>
      </c>
      <c r="K9" s="105"/>
      <c r="L9" s="106"/>
      <c r="M9" s="105"/>
      <c r="N9" s="104"/>
    </row>
    <row r="10" ht="16.5" spans="1:15">
      <c r="A10" s="28"/>
      <c r="B10" s="28"/>
      <c r="C10" s="28"/>
      <c r="D10" s="83"/>
      <c r="E10" s="28"/>
      <c r="F10" s="87" t="s">
        <v>67</v>
      </c>
      <c r="G10" s="34" t="s">
        <v>70</v>
      </c>
      <c r="H10" s="34">
        <f>5000</f>
        <v>5000</v>
      </c>
      <c r="I10" s="34">
        <f>0.042*5</f>
        <v>0.21</v>
      </c>
      <c r="J10" s="35">
        <f t="shared" si="0"/>
        <v>1050</v>
      </c>
      <c r="N10" s="104"/>
    </row>
    <row r="11" ht="16.5" spans="1:15">
      <c r="A11" s="28"/>
      <c r="B11" s="28"/>
      <c r="C11" s="28"/>
      <c r="D11" s="83"/>
      <c r="E11" s="28"/>
      <c r="F11" s="87" t="s">
        <v>67</v>
      </c>
      <c r="G11" s="34" t="s">
        <v>71</v>
      </c>
      <c r="H11" s="34">
        <v>5000</v>
      </c>
      <c r="I11" s="34">
        <v>0.11</v>
      </c>
      <c r="J11" s="35">
        <f t="shared" si="0"/>
        <v>550</v>
      </c>
      <c r="K11" s="107"/>
      <c r="L11" s="108" t="s">
        <v>72</v>
      </c>
      <c r="M11" s="98">
        <f>16545.41+5674.91+5254.55</f>
        <v>27474.87</v>
      </c>
      <c r="N11" s="104"/>
    </row>
    <row r="12" ht="16.5" spans="1:15">
      <c r="A12" s="28">
        <v>45842</v>
      </c>
      <c r="B12" s="29" t="s">
        <v>39</v>
      </c>
      <c r="C12" s="29" t="s">
        <v>73</v>
      </c>
      <c r="D12" s="73" t="s">
        <v>74</v>
      </c>
      <c r="E12" s="29" t="s">
        <v>75</v>
      </c>
      <c r="F12" s="87" t="s">
        <v>67</v>
      </c>
      <c r="G12" s="35" t="s">
        <v>68</v>
      </c>
      <c r="H12" s="109">
        <v>18334</v>
      </c>
      <c r="I12" s="68">
        <v>1.07</v>
      </c>
      <c r="J12" s="35">
        <f t="shared" si="0"/>
        <v>19617.38</v>
      </c>
      <c r="K12" s="110"/>
      <c r="L12" s="110"/>
      <c r="M12" s="103"/>
      <c r="N12" s="104"/>
    </row>
    <row r="13" ht="16.5" spans="1:15">
      <c r="A13" s="28"/>
      <c r="B13" s="29"/>
      <c r="C13" s="29"/>
      <c r="D13" s="73"/>
      <c r="E13" s="29"/>
      <c r="F13" s="88"/>
      <c r="G13" s="35" t="s">
        <v>69</v>
      </c>
      <c r="H13" s="68">
        <v>183</v>
      </c>
      <c r="I13" s="68">
        <v>0</v>
      </c>
      <c r="J13" s="35">
        <f t="shared" si="0"/>
        <v>0</v>
      </c>
      <c r="K13" s="110"/>
      <c r="L13" s="110"/>
      <c r="M13" s="103"/>
      <c r="N13" s="104"/>
      <c r="O13">
        <f>16545.41+5674.91+5254.55</f>
        <v>27474.87</v>
      </c>
    </row>
    <row r="14" ht="16.5" spans="1:15">
      <c r="A14" s="28"/>
      <c r="B14" s="29"/>
      <c r="C14" s="29"/>
      <c r="D14" s="73"/>
      <c r="E14" s="29"/>
      <c r="F14" s="87" t="s">
        <v>67</v>
      </c>
      <c r="G14" s="34" t="s">
        <v>22</v>
      </c>
      <c r="H14" s="34">
        <v>17800</v>
      </c>
      <c r="I14" s="34">
        <v>0.11</v>
      </c>
      <c r="J14" s="35">
        <f t="shared" si="0"/>
        <v>1958</v>
      </c>
      <c r="K14" s="110"/>
      <c r="L14" s="110"/>
      <c r="M14" s="103"/>
      <c r="N14" s="104"/>
    </row>
    <row r="15" ht="16.5" spans="1:15">
      <c r="A15" s="28"/>
      <c r="B15" s="29"/>
      <c r="C15" s="29"/>
      <c r="D15" s="73"/>
      <c r="E15" s="29"/>
      <c r="F15" s="88"/>
      <c r="G15" s="34" t="s">
        <v>70</v>
      </c>
      <c r="H15" s="34">
        <f>17800</f>
        <v>17800</v>
      </c>
      <c r="I15" s="34">
        <f>0.042*5</f>
        <v>0.21</v>
      </c>
      <c r="J15" s="35">
        <f t="shared" si="0"/>
        <v>3738</v>
      </c>
      <c r="K15" s="110"/>
      <c r="L15" s="110"/>
      <c r="M15" s="103"/>
      <c r="N15" s="104"/>
    </row>
    <row r="16" ht="16.5" spans="1:15">
      <c r="A16" s="28">
        <v>45849</v>
      </c>
      <c r="B16" s="28" t="s">
        <v>39</v>
      </c>
      <c r="C16" s="111">
        <v>85358</v>
      </c>
      <c r="D16" s="83" t="s">
        <v>76</v>
      </c>
      <c r="E16" s="28" t="s">
        <v>77</v>
      </c>
      <c r="F16" s="28" t="s">
        <v>67</v>
      </c>
      <c r="G16" s="34" t="s">
        <v>78</v>
      </c>
      <c r="H16" s="34">
        <f>2000*1.03</f>
        <v>2060</v>
      </c>
      <c r="I16" s="112">
        <v>1.07</v>
      </c>
      <c r="J16" s="35">
        <f t="shared" si="0"/>
        <v>2204.2</v>
      </c>
      <c r="K16" s="110"/>
      <c r="L16" s="110"/>
      <c r="M16" s="103"/>
      <c r="N16" s="104"/>
    </row>
    <row r="17" ht="16.5" spans="1:15">
      <c r="A17" s="28"/>
      <c r="B17" s="28"/>
      <c r="C17" s="86"/>
      <c r="D17" s="83"/>
      <c r="E17" s="28"/>
      <c r="F17" s="28"/>
      <c r="G17" s="34" t="s">
        <v>69</v>
      </c>
      <c r="H17" s="34">
        <f>2000*0.01</f>
        <v>20</v>
      </c>
      <c r="I17" s="112">
        <v>0</v>
      </c>
      <c r="J17" s="35">
        <f t="shared" si="0"/>
        <v>0</v>
      </c>
      <c r="K17" s="110"/>
      <c r="L17" s="110"/>
      <c r="M17" s="103"/>
      <c r="N17" s="104"/>
    </row>
    <row r="18" ht="16.5" spans="1:15">
      <c r="A18" s="28"/>
      <c r="B18" s="28"/>
      <c r="C18" s="86"/>
      <c r="D18" s="83"/>
      <c r="E18" s="28"/>
      <c r="F18" s="88" t="s">
        <v>79</v>
      </c>
      <c r="G18" s="34" t="s">
        <v>70</v>
      </c>
      <c r="H18" s="34">
        <f>2000</f>
        <v>2000</v>
      </c>
      <c r="I18" s="85">
        <f>0.042*5</f>
        <v>0.21</v>
      </c>
      <c r="J18" s="35">
        <f t="shared" si="0"/>
        <v>420</v>
      </c>
      <c r="K18" s="110"/>
      <c r="L18" s="113"/>
      <c r="M18" s="105"/>
      <c r="N18" s="104"/>
    </row>
    <row r="19" ht="16.5" spans="1:15">
      <c r="A19" s="28"/>
      <c r="B19" s="28"/>
      <c r="C19" s="86"/>
      <c r="D19" s="83"/>
      <c r="E19" s="28"/>
      <c r="F19" s="88"/>
      <c r="G19" s="34" t="s">
        <v>71</v>
      </c>
      <c r="H19" s="34">
        <v>2000</v>
      </c>
      <c r="I19" s="85">
        <v>0.11</v>
      </c>
      <c r="J19" s="35">
        <f t="shared" si="0"/>
        <v>220</v>
      </c>
      <c r="K19" s="98"/>
      <c r="L19" s="114" t="s">
        <v>80</v>
      </c>
      <c r="M19" s="103">
        <f>11021+2100+4124</f>
        <v>17245</v>
      </c>
      <c r="N19" s="104"/>
    </row>
    <row r="20" ht="16.5" spans="1:15">
      <c r="A20" s="28">
        <v>45849</v>
      </c>
      <c r="B20" s="29" t="s">
        <v>39</v>
      </c>
      <c r="C20" s="29">
        <v>85359</v>
      </c>
      <c r="D20" s="73" t="s">
        <v>81</v>
      </c>
      <c r="E20" s="29" t="s">
        <v>82</v>
      </c>
      <c r="F20" s="28" t="s">
        <v>67</v>
      </c>
      <c r="G20" s="34" t="s">
        <v>68</v>
      </c>
      <c r="H20" s="34">
        <f>1000*1.03</f>
        <v>1030</v>
      </c>
      <c r="I20" s="85">
        <v>1.07</v>
      </c>
      <c r="J20" s="35">
        <f t="shared" si="0"/>
        <v>1102.1</v>
      </c>
      <c r="K20" s="103"/>
      <c r="L20" s="102"/>
      <c r="M20" s="103"/>
      <c r="N20" s="104"/>
    </row>
    <row r="21" ht="16.5" spans="1:15">
      <c r="A21" s="28"/>
      <c r="B21" s="28"/>
      <c r="C21" s="86"/>
      <c r="D21" s="83"/>
      <c r="E21" s="28"/>
      <c r="F21" s="28"/>
      <c r="G21" s="34" t="s">
        <v>69</v>
      </c>
      <c r="H21" s="34">
        <f>1000*0.01</f>
        <v>10</v>
      </c>
      <c r="I21" s="85">
        <v>0</v>
      </c>
      <c r="J21" s="35">
        <f t="shared" si="0"/>
        <v>0</v>
      </c>
      <c r="K21" s="103"/>
      <c r="L21" s="102"/>
      <c r="M21" s="103"/>
      <c r="N21" s="104"/>
      <c r="O21">
        <f>11021+2100+4124</f>
        <v>17245</v>
      </c>
    </row>
    <row r="22" ht="16.5" spans="1:15">
      <c r="A22" s="28"/>
      <c r="B22" s="28"/>
      <c r="C22" s="86"/>
      <c r="D22" s="83"/>
      <c r="E22" s="28"/>
      <c r="F22" s="28" t="s">
        <v>79</v>
      </c>
      <c r="G22" s="34" t="s">
        <v>70</v>
      </c>
      <c r="H22" s="34">
        <f>1000</f>
        <v>1000</v>
      </c>
      <c r="I22" s="85">
        <f>0.042*5</f>
        <v>0.21</v>
      </c>
      <c r="J22" s="35">
        <f t="shared" si="0"/>
        <v>210</v>
      </c>
      <c r="K22" s="103"/>
      <c r="L22" s="102"/>
      <c r="M22" s="103"/>
      <c r="N22" s="104"/>
    </row>
    <row r="23" ht="16.5" spans="1:15">
      <c r="A23" s="28"/>
      <c r="B23" s="29"/>
      <c r="C23" s="29"/>
      <c r="D23" s="73"/>
      <c r="E23" s="29"/>
      <c r="F23" s="28"/>
      <c r="G23" s="34" t="s">
        <v>71</v>
      </c>
      <c r="H23" s="34">
        <f>1000</f>
        <v>1000</v>
      </c>
      <c r="I23" s="85">
        <v>0.11</v>
      </c>
      <c r="J23" s="35">
        <f t="shared" si="0"/>
        <v>110</v>
      </c>
      <c r="K23" s="103"/>
      <c r="L23" s="102"/>
      <c r="M23" s="103"/>
      <c r="N23" s="104"/>
    </row>
    <row r="24" ht="16.5" spans="1:15">
      <c r="A24" s="28">
        <v>45866</v>
      </c>
      <c r="B24" s="111" t="s">
        <v>39</v>
      </c>
      <c r="C24" s="111" t="s">
        <v>83</v>
      </c>
      <c r="D24" s="115" t="s">
        <v>84</v>
      </c>
      <c r="E24" s="111" t="s">
        <v>85</v>
      </c>
      <c r="F24" s="87" t="s">
        <v>86</v>
      </c>
      <c r="G24" s="95" t="s">
        <v>87</v>
      </c>
      <c r="H24" s="112">
        <v>19026</v>
      </c>
      <c r="I24" s="112">
        <v>0.24</v>
      </c>
      <c r="J24" s="35">
        <f t="shared" si="0"/>
        <v>4566.24</v>
      </c>
      <c r="K24" s="105"/>
      <c r="L24" s="106"/>
      <c r="M24" s="105"/>
      <c r="N24" s="104"/>
    </row>
    <row r="25" ht="16.5" spans="1:15">
      <c r="A25" s="28"/>
      <c r="B25" s="111"/>
      <c r="C25" s="111"/>
      <c r="D25" s="115"/>
      <c r="E25" s="111"/>
      <c r="F25" s="88"/>
      <c r="G25" s="95" t="s">
        <v>71</v>
      </c>
      <c r="H25" s="112">
        <v>19026</v>
      </c>
      <c r="I25" s="112">
        <v>0.11</v>
      </c>
      <c r="J25" s="35">
        <f t="shared" si="0"/>
        <v>2092.86</v>
      </c>
      <c r="L25" s="116"/>
      <c r="N25" s="104"/>
    </row>
    <row r="26" ht="16.5" spans="1:15">
      <c r="A26" s="28"/>
      <c r="B26" s="111"/>
      <c r="C26" s="111"/>
      <c r="D26" s="115"/>
      <c r="E26" s="111"/>
      <c r="F26" s="28" t="s">
        <v>88</v>
      </c>
      <c r="G26" s="95" t="s">
        <v>89</v>
      </c>
      <c r="H26" s="117">
        <v>19597</v>
      </c>
      <c r="I26" s="95">
        <v>1.07</v>
      </c>
      <c r="J26" s="35">
        <f t="shared" si="0"/>
        <v>20968.79</v>
      </c>
      <c r="K26" s="98"/>
      <c r="L26" s="99" t="s">
        <v>90</v>
      </c>
      <c r="M26" s="98">
        <f>6421.07+2100+640.86</f>
        <v>9161.93</v>
      </c>
      <c r="N26" s="104"/>
    </row>
    <row r="27" ht="16.5" spans="1:15">
      <c r="A27" s="28"/>
      <c r="B27" s="111"/>
      <c r="C27" s="111"/>
      <c r="D27" s="115"/>
      <c r="E27" s="111"/>
      <c r="F27" s="28"/>
      <c r="G27" s="95" t="s">
        <v>91</v>
      </c>
      <c r="H27" s="95">
        <v>190</v>
      </c>
      <c r="I27" s="95">
        <v>0</v>
      </c>
      <c r="J27" s="35">
        <f t="shared" si="0"/>
        <v>0</v>
      </c>
      <c r="K27" s="103"/>
      <c r="L27" s="102"/>
      <c r="M27" s="103"/>
      <c r="N27" s="104"/>
      <c r="O27">
        <f>6421.07+2100+640.86</f>
        <v>9161.93</v>
      </c>
    </row>
    <row r="28" ht="16.5" spans="1:15">
      <c r="A28" s="28"/>
      <c r="B28" s="111"/>
      <c r="C28" s="111"/>
      <c r="D28" s="115"/>
      <c r="E28" s="111"/>
      <c r="F28" s="28"/>
      <c r="G28" s="95" t="s">
        <v>92</v>
      </c>
      <c r="H28" s="95">
        <v>55</v>
      </c>
      <c r="I28" s="95">
        <v>0</v>
      </c>
      <c r="J28" s="35">
        <f t="shared" si="0"/>
        <v>0</v>
      </c>
      <c r="K28" s="103"/>
      <c r="L28" s="102"/>
      <c r="M28" s="103"/>
      <c r="N28" s="104"/>
    </row>
    <row r="29" ht="16.5" spans="1:15">
      <c r="A29" s="28"/>
      <c r="B29" s="111"/>
      <c r="C29" s="111"/>
      <c r="D29" s="115"/>
      <c r="E29" s="111"/>
      <c r="F29" s="28" t="s">
        <v>79</v>
      </c>
      <c r="G29" s="85" t="s">
        <v>70</v>
      </c>
      <c r="H29" s="85">
        <f>H25</f>
        <v>19026</v>
      </c>
      <c r="I29" s="85">
        <f>0.042*5</f>
        <v>0.21</v>
      </c>
      <c r="J29" s="35">
        <f t="shared" si="0"/>
        <v>3995.46</v>
      </c>
      <c r="K29" s="103"/>
      <c r="L29" s="102"/>
      <c r="M29" s="103"/>
      <c r="N29" s="104"/>
    </row>
    <row r="30" ht="16.5" spans="1:15">
      <c r="A30" s="28">
        <v>45867</v>
      </c>
      <c r="B30" s="111" t="s">
        <v>39</v>
      </c>
      <c r="C30" s="111" t="s">
        <v>93</v>
      </c>
      <c r="D30" s="115" t="s">
        <v>94</v>
      </c>
      <c r="E30" s="111" t="s">
        <v>95</v>
      </c>
      <c r="F30" s="87" t="s">
        <v>86</v>
      </c>
      <c r="G30" s="95" t="s">
        <v>68</v>
      </c>
      <c r="H30" s="85">
        <v>6490</v>
      </c>
      <c r="I30" s="85">
        <v>1.07</v>
      </c>
      <c r="J30" s="35">
        <f t="shared" si="0"/>
        <v>6944.3</v>
      </c>
      <c r="K30" s="105"/>
      <c r="L30" s="106"/>
      <c r="M30" s="105"/>
      <c r="N30" s="104"/>
    </row>
    <row r="31" ht="16.5" spans="1:15">
      <c r="A31" s="28"/>
      <c r="B31" s="111"/>
      <c r="C31" s="111"/>
      <c r="D31" s="115"/>
      <c r="E31" s="111"/>
      <c r="F31" s="88"/>
      <c r="G31" s="95" t="s">
        <v>69</v>
      </c>
      <c r="H31" s="85">
        <v>65</v>
      </c>
      <c r="I31" s="85">
        <v>0</v>
      </c>
      <c r="J31" s="35">
        <f t="shared" si="0"/>
        <v>0</v>
      </c>
      <c r="N31" s="104"/>
    </row>
    <row r="32" ht="16.5" spans="1:15">
      <c r="A32" s="28"/>
      <c r="B32" s="111"/>
      <c r="C32" s="111"/>
      <c r="D32" s="115"/>
      <c r="E32" s="111"/>
      <c r="F32" s="88"/>
      <c r="G32" s="85" t="s">
        <v>22</v>
      </c>
      <c r="H32" s="85">
        <v>6300</v>
      </c>
      <c r="I32" s="85">
        <v>0.11</v>
      </c>
      <c r="J32" s="35">
        <f t="shared" si="0"/>
        <v>693</v>
      </c>
      <c r="K32" s="107"/>
      <c r="L32" s="108" t="s">
        <v>96</v>
      </c>
      <c r="M32" s="98">
        <f>11021+2100+4124</f>
        <v>17245</v>
      </c>
      <c r="N32" s="104"/>
    </row>
    <row r="33" ht="16.5" spans="1:15">
      <c r="A33" s="28"/>
      <c r="B33" s="111"/>
      <c r="C33" s="111"/>
      <c r="D33" s="115"/>
      <c r="E33" s="111"/>
      <c r="F33" s="88"/>
      <c r="G33" s="85" t="s">
        <v>70</v>
      </c>
      <c r="H33" s="85">
        <f>6300</f>
        <v>6300</v>
      </c>
      <c r="I33" s="85">
        <f>0.042*5</f>
        <v>0.21</v>
      </c>
      <c r="J33" s="35">
        <f t="shared" si="0"/>
        <v>1323</v>
      </c>
      <c r="K33" s="110"/>
      <c r="L33" s="110"/>
      <c r="M33" s="103"/>
      <c r="N33" s="104"/>
    </row>
    <row r="34" ht="16.5" spans="1:15">
      <c r="A34" s="28"/>
      <c r="B34" s="111"/>
      <c r="C34" s="111"/>
      <c r="D34" s="115"/>
      <c r="E34" s="111"/>
      <c r="F34" s="88"/>
      <c r="G34" s="95" t="s">
        <v>87</v>
      </c>
      <c r="H34" s="85">
        <v>17000</v>
      </c>
      <c r="I34" s="85">
        <v>0.24</v>
      </c>
      <c r="J34" s="35">
        <f t="shared" si="0"/>
        <v>4080</v>
      </c>
      <c r="K34" s="110"/>
      <c r="L34" s="110"/>
      <c r="M34" s="103"/>
      <c r="N34" s="104"/>
      <c r="O34">
        <f>11021+2100+4124</f>
        <v>17245</v>
      </c>
    </row>
    <row r="35" ht="16.5" spans="1:15">
      <c r="A35" s="28"/>
      <c r="B35" s="111"/>
      <c r="C35" s="111"/>
      <c r="D35" s="115"/>
      <c r="E35" s="111"/>
      <c r="F35" s="88"/>
      <c r="G35" s="95" t="s">
        <v>78</v>
      </c>
      <c r="H35" s="85">
        <v>6489</v>
      </c>
      <c r="I35" s="85">
        <v>1.07</v>
      </c>
      <c r="J35" s="35">
        <f t="shared" si="0"/>
        <v>6943.23</v>
      </c>
      <c r="K35" s="110"/>
      <c r="L35" s="110"/>
      <c r="M35" s="103"/>
      <c r="N35" s="104"/>
    </row>
    <row r="36" ht="16.5" spans="1:15">
      <c r="A36" s="28"/>
      <c r="B36" s="111"/>
      <c r="C36" s="111"/>
      <c r="D36" s="115"/>
      <c r="E36" s="111"/>
      <c r="F36" s="88"/>
      <c r="G36" s="95" t="s">
        <v>69</v>
      </c>
      <c r="H36" s="85">
        <v>63</v>
      </c>
      <c r="I36" s="85">
        <v>0</v>
      </c>
      <c r="J36" s="35">
        <f t="shared" si="0"/>
        <v>0</v>
      </c>
      <c r="K36" s="113"/>
      <c r="L36" s="113"/>
      <c r="M36" s="105"/>
      <c r="N36" s="104"/>
    </row>
    <row r="37" ht="16.5" spans="1:15">
      <c r="A37" s="28"/>
      <c r="B37" s="111"/>
      <c r="C37" s="111"/>
      <c r="D37" s="115"/>
      <c r="E37" s="111"/>
      <c r="F37" s="88"/>
      <c r="G37" s="85" t="s">
        <v>22</v>
      </c>
      <c r="H37" s="85">
        <v>6300</v>
      </c>
      <c r="I37" s="85">
        <v>0.11</v>
      </c>
      <c r="J37" s="35">
        <f t="shared" si="0"/>
        <v>693</v>
      </c>
      <c r="K37" s="110"/>
      <c r="L37" s="118" t="s">
        <v>97</v>
      </c>
      <c r="M37" s="103">
        <f>7704</f>
        <v>7704</v>
      </c>
      <c r="N37" s="104"/>
    </row>
    <row r="38" ht="16.5" spans="1:15">
      <c r="A38" s="28"/>
      <c r="B38" s="111"/>
      <c r="C38" s="111"/>
      <c r="D38" s="115"/>
      <c r="E38" s="111"/>
      <c r="F38" s="119"/>
      <c r="G38" s="85" t="s">
        <v>70</v>
      </c>
      <c r="H38" s="85">
        <f>6300</f>
        <v>6300</v>
      </c>
      <c r="I38" s="85">
        <f>0.042*5</f>
        <v>0.21</v>
      </c>
      <c r="J38" s="35">
        <f t="shared" si="0"/>
        <v>1323</v>
      </c>
      <c r="K38" s="110"/>
      <c r="L38" s="110"/>
      <c r="M38" s="103"/>
      <c r="N38" s="104"/>
      <c r="O38">
        <v>7704</v>
      </c>
    </row>
    <row r="39" ht="16.5" spans="1:15">
      <c r="A39" s="28">
        <v>45849</v>
      </c>
      <c r="B39" s="28" t="s">
        <v>39</v>
      </c>
      <c r="C39" s="86"/>
      <c r="D39" s="83" t="s">
        <v>98</v>
      </c>
      <c r="E39" s="28" t="s">
        <v>99</v>
      </c>
      <c r="F39" s="87" t="s">
        <v>79</v>
      </c>
      <c r="G39" s="34" t="s">
        <v>78</v>
      </c>
      <c r="H39" s="34">
        <v>1062</v>
      </c>
      <c r="I39" s="112">
        <v>1.07</v>
      </c>
      <c r="J39" s="35">
        <f t="shared" si="0"/>
        <v>1136.34</v>
      </c>
      <c r="K39" s="110"/>
      <c r="L39" s="110"/>
      <c r="M39" s="103"/>
      <c r="N39" s="104"/>
    </row>
    <row r="40" ht="16.5" spans="1:15">
      <c r="A40" s="28"/>
      <c r="B40" s="28"/>
      <c r="C40" s="86"/>
      <c r="D40" s="83"/>
      <c r="E40" s="28"/>
      <c r="F40" s="88"/>
      <c r="G40" s="34" t="s">
        <v>69</v>
      </c>
      <c r="H40" s="34">
        <v>11</v>
      </c>
      <c r="I40" s="112">
        <v>0</v>
      </c>
      <c r="J40" s="35">
        <f t="shared" si="0"/>
        <v>0</v>
      </c>
      <c r="K40" s="113"/>
      <c r="L40" s="113"/>
      <c r="M40" s="105"/>
      <c r="N40" s="104"/>
    </row>
    <row r="41" ht="16.5" spans="1:15">
      <c r="A41" s="28">
        <v>45870</v>
      </c>
      <c r="B41" s="28" t="s">
        <v>39</v>
      </c>
      <c r="C41" s="111">
        <v>86578</v>
      </c>
      <c r="D41" s="83" t="s">
        <v>100</v>
      </c>
      <c r="E41" s="28" t="s">
        <v>101</v>
      </c>
      <c r="F41" s="87" t="s">
        <v>86</v>
      </c>
      <c r="G41" s="34" t="s">
        <v>68</v>
      </c>
      <c r="H41" s="34">
        <v>3264</v>
      </c>
      <c r="I41" s="112">
        <v>1.07</v>
      </c>
      <c r="J41" s="35">
        <f t="shared" si="0"/>
        <v>3492.48</v>
      </c>
      <c r="K41" s="25"/>
      <c r="L41" s="25"/>
      <c r="N41" s="104"/>
    </row>
    <row r="42" ht="16.5" spans="1:15">
      <c r="A42" s="28"/>
      <c r="B42" s="28"/>
      <c r="C42" s="86"/>
      <c r="D42" s="83"/>
      <c r="E42" s="28"/>
      <c r="F42" s="88"/>
      <c r="G42" s="34" t="s">
        <v>69</v>
      </c>
      <c r="H42" s="34">
        <v>33</v>
      </c>
      <c r="I42" s="112">
        <v>0</v>
      </c>
      <c r="J42" s="35">
        <f t="shared" si="0"/>
        <v>0</v>
      </c>
      <c r="N42" s="104"/>
    </row>
    <row r="43" ht="16.5" spans="1:15">
      <c r="A43" s="28"/>
      <c r="B43" s="28"/>
      <c r="C43" s="86"/>
      <c r="D43" s="83"/>
      <c r="E43" s="28"/>
      <c r="F43" s="88"/>
      <c r="G43" s="34" t="s">
        <v>102</v>
      </c>
      <c r="H43" s="34">
        <v>30</v>
      </c>
      <c r="I43" s="112">
        <v>0</v>
      </c>
      <c r="J43" s="35">
        <f t="shared" si="0"/>
        <v>0</v>
      </c>
      <c r="K43" s="107"/>
      <c r="L43" s="120" t="s">
        <v>103</v>
      </c>
      <c r="M43" s="98">
        <f>11315.24+3322.41+3004.39</f>
        <v>17642.04</v>
      </c>
      <c r="N43" s="104"/>
    </row>
    <row r="44" ht="16.5" spans="1:15">
      <c r="A44" s="28"/>
      <c r="B44" s="28"/>
      <c r="C44" s="86"/>
      <c r="D44" s="83"/>
      <c r="E44" s="28"/>
      <c r="F44" s="88"/>
      <c r="G44" s="34" t="s">
        <v>22</v>
      </c>
      <c r="H44" s="34">
        <v>3000</v>
      </c>
      <c r="I44" s="85">
        <v>0.11</v>
      </c>
      <c r="J44" s="35">
        <f t="shared" si="0"/>
        <v>330</v>
      </c>
      <c r="K44" s="110"/>
      <c r="L44" s="121"/>
      <c r="M44" s="103"/>
      <c r="N44" s="104"/>
    </row>
    <row r="45" ht="32" customHeight="1" spans="1:15">
      <c r="A45" s="28"/>
      <c r="B45" s="28"/>
      <c r="C45" s="86"/>
      <c r="D45" s="83"/>
      <c r="E45" s="28"/>
      <c r="F45" s="119"/>
      <c r="G45" s="34" t="s">
        <v>70</v>
      </c>
      <c r="H45" s="34">
        <v>3000</v>
      </c>
      <c r="I45" s="85">
        <f>0.042*5</f>
        <v>0.21</v>
      </c>
      <c r="J45" s="35">
        <f t="shared" si="0"/>
        <v>630</v>
      </c>
      <c r="K45" s="110"/>
      <c r="L45" s="121"/>
      <c r="M45" s="103"/>
      <c r="N45" s="104"/>
      <c r="O45">
        <f>11315.24+3322.41+3004.39</f>
        <v>17642.04</v>
      </c>
    </row>
    <row r="46" ht="30" customHeight="1" spans="1:15">
      <c r="A46" s="28">
        <v>45876</v>
      </c>
      <c r="B46" s="29" t="s">
        <v>39</v>
      </c>
      <c r="C46" s="29">
        <v>40061</v>
      </c>
      <c r="D46" s="73" t="s">
        <v>104</v>
      </c>
      <c r="E46" s="29" t="s">
        <v>105</v>
      </c>
      <c r="F46" s="28" t="s">
        <v>106</v>
      </c>
      <c r="G46" s="35" t="s">
        <v>89</v>
      </c>
      <c r="H46" s="35">
        <v>6180</v>
      </c>
      <c r="I46" s="95">
        <v>1.07</v>
      </c>
      <c r="J46" s="35">
        <f t="shared" si="0"/>
        <v>6612.6</v>
      </c>
      <c r="K46" s="113"/>
      <c r="L46" s="121"/>
      <c r="M46" s="105"/>
      <c r="N46" s="104"/>
    </row>
    <row r="47" ht="16.5" spans="1:15">
      <c r="A47" s="28"/>
      <c r="B47" s="29"/>
      <c r="C47" s="29"/>
      <c r="D47" s="73"/>
      <c r="E47" s="29"/>
      <c r="F47" s="28"/>
      <c r="G47" s="35" t="s">
        <v>91</v>
      </c>
      <c r="H47" s="35">
        <v>60</v>
      </c>
      <c r="I47" s="95">
        <v>0</v>
      </c>
      <c r="J47" s="35">
        <f t="shared" si="0"/>
        <v>0</v>
      </c>
      <c r="K47" s="122"/>
      <c r="L47" s="123" t="s">
        <v>107</v>
      </c>
      <c r="M47" s="103">
        <f>19617.38+3738+1958</f>
        <v>25313.38</v>
      </c>
      <c r="N47" s="104"/>
    </row>
    <row r="48" ht="16.5" spans="1:15">
      <c r="A48" s="28"/>
      <c r="B48" s="29"/>
      <c r="C48" s="29"/>
      <c r="D48" s="73"/>
      <c r="E48" s="29"/>
      <c r="F48" s="28"/>
      <c r="G48" s="35" t="s">
        <v>92</v>
      </c>
      <c r="H48" s="35">
        <v>30</v>
      </c>
      <c r="I48" s="95">
        <v>0</v>
      </c>
      <c r="J48" s="35">
        <f t="shared" si="0"/>
        <v>0</v>
      </c>
      <c r="K48" s="122"/>
      <c r="L48" s="124"/>
      <c r="M48" s="103"/>
      <c r="N48" s="104"/>
      <c r="O48">
        <f>19617.38+3738+1958</f>
        <v>25313.38</v>
      </c>
    </row>
    <row r="49" ht="16.5" spans="1:15">
      <c r="A49" s="28"/>
      <c r="B49" s="29"/>
      <c r="C49" s="29"/>
      <c r="D49" s="73"/>
      <c r="E49" s="29"/>
      <c r="F49" s="28"/>
      <c r="G49" s="34" t="s">
        <v>70</v>
      </c>
      <c r="H49" s="34">
        <v>6000</v>
      </c>
      <c r="I49" s="85">
        <f>0.042*5</f>
        <v>0.21</v>
      </c>
      <c r="J49" s="35">
        <f t="shared" si="0"/>
        <v>1260</v>
      </c>
      <c r="K49" s="122"/>
      <c r="L49" s="124"/>
      <c r="M49" s="103"/>
      <c r="N49" s="104"/>
    </row>
    <row r="50" ht="37" customHeight="1" spans="1:15">
      <c r="A50" s="28"/>
      <c r="B50" s="29"/>
      <c r="C50" s="29"/>
      <c r="D50" s="73"/>
      <c r="E50" s="29"/>
      <c r="F50" s="28"/>
      <c r="G50" s="35" t="s">
        <v>71</v>
      </c>
      <c r="H50" s="34">
        <v>6000</v>
      </c>
      <c r="I50" s="85">
        <v>0.11</v>
      </c>
      <c r="J50" s="35">
        <f t="shared" si="0"/>
        <v>660</v>
      </c>
      <c r="K50" s="125"/>
      <c r="L50" s="124"/>
      <c r="M50" s="105"/>
      <c r="N50" s="104"/>
    </row>
    <row r="51" ht="16.5" spans="1:15">
      <c r="A51" s="28">
        <v>45889</v>
      </c>
      <c r="B51" s="28" t="s">
        <v>39</v>
      </c>
      <c r="C51" s="111" t="s">
        <v>108</v>
      </c>
      <c r="D51" s="83" t="s">
        <v>109</v>
      </c>
      <c r="E51" s="28" t="s">
        <v>110</v>
      </c>
      <c r="F51" s="87" t="s">
        <v>111</v>
      </c>
      <c r="G51" s="34" t="s">
        <v>112</v>
      </c>
      <c r="H51" s="34">
        <v>1235</v>
      </c>
      <c r="I51" s="112">
        <v>1.07</v>
      </c>
      <c r="J51" s="35">
        <f t="shared" si="0"/>
        <v>1321.45</v>
      </c>
      <c r="K51" s="126"/>
      <c r="L51" s="127" t="s">
        <v>113</v>
      </c>
      <c r="M51" s="103">
        <f>3492.48+630</f>
        <v>4122.48</v>
      </c>
      <c r="N51" s="104"/>
    </row>
    <row r="52" ht="16.5" spans="1:15">
      <c r="A52" s="28"/>
      <c r="B52" s="28"/>
      <c r="C52" s="86"/>
      <c r="D52" s="83"/>
      <c r="E52" s="28"/>
      <c r="F52" s="88"/>
      <c r="G52" s="34" t="s">
        <v>91</v>
      </c>
      <c r="H52" s="34">
        <v>12</v>
      </c>
      <c r="I52" s="112">
        <v>0</v>
      </c>
      <c r="J52" s="35">
        <f t="shared" si="0"/>
        <v>0</v>
      </c>
      <c r="K52" s="128"/>
      <c r="L52" s="129"/>
      <c r="M52" s="103"/>
      <c r="N52" s="104"/>
    </row>
    <row r="53" ht="16.5" spans="1:15">
      <c r="A53" s="28"/>
      <c r="B53" s="28"/>
      <c r="C53" s="86"/>
      <c r="D53" s="83"/>
      <c r="E53" s="28"/>
      <c r="F53" s="119"/>
      <c r="G53" s="34" t="s">
        <v>92</v>
      </c>
      <c r="H53" s="34">
        <f>5*10+5</f>
        <v>55</v>
      </c>
      <c r="I53" s="112">
        <v>0</v>
      </c>
      <c r="J53" s="35">
        <f t="shared" si="0"/>
        <v>0</v>
      </c>
      <c r="K53" s="128"/>
      <c r="L53" s="129"/>
      <c r="M53" s="103"/>
      <c r="N53" s="104"/>
    </row>
    <row r="54" ht="16.5" spans="1:15">
      <c r="A54" s="28"/>
      <c r="B54" s="28"/>
      <c r="C54" s="86"/>
      <c r="D54" s="83"/>
      <c r="E54" s="28"/>
      <c r="F54" s="87" t="s">
        <v>114</v>
      </c>
      <c r="G54" s="34" t="s">
        <v>87</v>
      </c>
      <c r="H54" s="34">
        <f>1225+10</f>
        <v>1235</v>
      </c>
      <c r="I54" s="112">
        <v>0.24</v>
      </c>
      <c r="J54" s="35">
        <f t="shared" si="0"/>
        <v>296.4</v>
      </c>
      <c r="K54" s="128"/>
      <c r="L54" s="129"/>
      <c r="M54" s="103"/>
      <c r="N54" s="104"/>
    </row>
    <row r="55" ht="16.5" spans="1:15">
      <c r="A55" s="28"/>
      <c r="B55" s="28"/>
      <c r="C55" s="86"/>
      <c r="D55" s="83"/>
      <c r="E55" s="28"/>
      <c r="F55" s="88"/>
      <c r="G55" s="34" t="s">
        <v>22</v>
      </c>
      <c r="H55" s="34">
        <v>1235</v>
      </c>
      <c r="I55" s="85">
        <v>0.11</v>
      </c>
      <c r="J55" s="35">
        <f t="shared" si="0"/>
        <v>135.85</v>
      </c>
      <c r="K55" s="128"/>
      <c r="L55" s="129"/>
      <c r="M55" s="103"/>
      <c r="N55" s="104"/>
      <c r="O55">
        <f>3492.48+630</f>
        <v>4122.48</v>
      </c>
    </row>
    <row r="56" ht="16.5" spans="1:15">
      <c r="A56" s="28"/>
      <c r="B56" s="28"/>
      <c r="C56" s="86"/>
      <c r="D56" s="83"/>
      <c r="E56" s="28"/>
      <c r="F56" s="28" t="s">
        <v>115</v>
      </c>
      <c r="G56" s="34" t="s">
        <v>70</v>
      </c>
      <c r="H56" s="34">
        <f>1235</f>
        <v>1235</v>
      </c>
      <c r="I56" s="85">
        <f>0.042*5</f>
        <v>0.21</v>
      </c>
      <c r="J56" s="35">
        <f t="shared" si="0"/>
        <v>259.35</v>
      </c>
      <c r="K56" s="128"/>
      <c r="L56" s="129"/>
      <c r="M56" s="103"/>
      <c r="N56" s="104"/>
    </row>
    <row r="57" ht="16.5" spans="1:15">
      <c r="A57" s="28">
        <v>45919</v>
      </c>
      <c r="B57" s="29" t="s">
        <v>39</v>
      </c>
      <c r="C57" s="65" t="s">
        <v>116</v>
      </c>
      <c r="D57" s="73" t="s">
        <v>117</v>
      </c>
      <c r="E57" s="29" t="s">
        <v>118</v>
      </c>
      <c r="F57" s="92" t="s">
        <v>119</v>
      </c>
      <c r="G57" s="35" t="s">
        <v>112</v>
      </c>
      <c r="H57" s="35">
        <f>5000+2000+20</f>
        <v>7020</v>
      </c>
      <c r="I57" s="34">
        <v>1.07</v>
      </c>
      <c r="J57" s="35">
        <f t="shared" si="0"/>
        <v>7511.4</v>
      </c>
      <c r="K57" s="128"/>
      <c r="L57" s="129"/>
      <c r="M57" s="105"/>
      <c r="N57" s="104"/>
    </row>
    <row r="58" ht="16.5" spans="1:15">
      <c r="A58" s="28"/>
      <c r="B58" s="29"/>
      <c r="C58" s="29"/>
      <c r="D58" s="73"/>
      <c r="E58" s="29"/>
      <c r="F58" s="94"/>
      <c r="G58" s="35" t="s">
        <v>91</v>
      </c>
      <c r="H58" s="35">
        <v>70</v>
      </c>
      <c r="I58" s="34">
        <v>0</v>
      </c>
      <c r="J58" s="35">
        <f t="shared" si="0"/>
        <v>0</v>
      </c>
      <c r="N58" s="104"/>
    </row>
    <row r="59" ht="33" customHeight="1" spans="1:15">
      <c r="A59" s="28"/>
      <c r="B59" s="29"/>
      <c r="C59" s="29"/>
      <c r="D59" s="73"/>
      <c r="E59" s="29"/>
      <c r="F59" s="130"/>
      <c r="G59" s="35" t="s">
        <v>92</v>
      </c>
      <c r="H59" s="35">
        <f>5*5*2+5</f>
        <v>55</v>
      </c>
      <c r="I59" s="34">
        <v>0</v>
      </c>
      <c r="J59" s="35">
        <f t="shared" si="0"/>
        <v>0</v>
      </c>
      <c r="K59" s="107"/>
      <c r="L59" s="108" t="s">
        <v>120</v>
      </c>
      <c r="M59" s="98">
        <f>20968.79+3992.73</f>
        <v>24961.52</v>
      </c>
      <c r="N59" s="104"/>
      <c r="O59">
        <f>20968.79+3992.73</f>
        <v>24961.52</v>
      </c>
    </row>
    <row r="60" ht="31" customHeight="1" spans="1:15">
      <c r="A60" s="28"/>
      <c r="B60" s="29"/>
      <c r="C60" s="29"/>
      <c r="D60" s="73"/>
      <c r="E60" s="29"/>
      <c r="F60" s="89" t="s">
        <v>121</v>
      </c>
      <c r="G60" s="34" t="s">
        <v>122</v>
      </c>
      <c r="H60" s="35">
        <f>7020</f>
        <v>7020</v>
      </c>
      <c r="I60" s="34">
        <f>0.042*4</f>
        <v>0.168</v>
      </c>
      <c r="J60" s="35">
        <f t="shared" si="0"/>
        <v>1179.36</v>
      </c>
      <c r="K60" s="110"/>
      <c r="L60" s="110"/>
      <c r="M60" s="103"/>
      <c r="N60" s="104"/>
    </row>
    <row r="61" ht="27" customHeight="1" spans="1:15">
      <c r="A61" s="28"/>
      <c r="B61" s="29"/>
      <c r="C61" s="29"/>
      <c r="D61" s="73"/>
      <c r="E61" s="29"/>
      <c r="F61" s="92" t="s">
        <v>123</v>
      </c>
      <c r="G61" s="35" t="s">
        <v>87</v>
      </c>
      <c r="H61" s="35">
        <v>7020</v>
      </c>
      <c r="I61" s="35">
        <v>0.24</v>
      </c>
      <c r="J61" s="35">
        <f t="shared" si="0"/>
        <v>1684.8</v>
      </c>
      <c r="K61" s="113"/>
      <c r="L61" s="110"/>
      <c r="M61" s="105"/>
      <c r="N61" s="104"/>
    </row>
    <row r="62" ht="16.5" spans="1:15">
      <c r="A62" s="28"/>
      <c r="B62" s="29"/>
      <c r="C62" s="29"/>
      <c r="D62" s="73"/>
      <c r="E62" s="29"/>
      <c r="F62" s="94"/>
      <c r="G62" s="34" t="s">
        <v>22</v>
      </c>
      <c r="H62" s="35">
        <v>7020</v>
      </c>
      <c r="I62" s="34">
        <v>0.11</v>
      </c>
      <c r="J62" s="35">
        <f t="shared" si="0"/>
        <v>772.2</v>
      </c>
      <c r="K62" s="110"/>
      <c r="L62" s="108" t="s">
        <v>124</v>
      </c>
      <c r="M62" s="103">
        <f>6659.1</f>
        <v>6659.1</v>
      </c>
      <c r="N62" s="104"/>
    </row>
    <row r="63" ht="26" customHeight="1" spans="1:15">
      <c r="A63" s="28">
        <v>45919</v>
      </c>
      <c r="B63" s="29" t="s">
        <v>39</v>
      </c>
      <c r="C63" s="65" t="s">
        <v>125</v>
      </c>
      <c r="D63" s="73" t="s">
        <v>126</v>
      </c>
      <c r="E63" s="29" t="s">
        <v>127</v>
      </c>
      <c r="F63" s="92" t="s">
        <v>128</v>
      </c>
      <c r="G63" s="35" t="s">
        <v>129</v>
      </c>
      <c r="H63" s="35">
        <f>5000+2000</f>
        <v>7000</v>
      </c>
      <c r="I63" s="35">
        <v>0.85</v>
      </c>
      <c r="J63" s="35">
        <f t="shared" si="0"/>
        <v>5950</v>
      </c>
      <c r="K63" s="110"/>
      <c r="L63" s="110"/>
      <c r="M63" s="103"/>
      <c r="N63" s="104"/>
      <c r="O63">
        <v>6659.1</v>
      </c>
    </row>
    <row r="64" ht="28" customHeight="1" spans="1:15">
      <c r="A64" s="28"/>
      <c r="B64" s="29"/>
      <c r="C64" s="29"/>
      <c r="D64" s="73"/>
      <c r="E64" s="29"/>
      <c r="F64" s="94"/>
      <c r="G64" s="35" t="s">
        <v>130</v>
      </c>
      <c r="H64" s="35">
        <f>7000*0.01</f>
        <v>70</v>
      </c>
      <c r="I64" s="35">
        <v>0</v>
      </c>
      <c r="J64" s="35">
        <f t="shared" si="0"/>
        <v>0</v>
      </c>
      <c r="K64" s="110"/>
      <c r="L64" s="110"/>
      <c r="M64" s="105"/>
      <c r="N64" s="104"/>
    </row>
    <row r="65" ht="16.5" spans="1:15">
      <c r="A65" s="28"/>
      <c r="B65" s="29"/>
      <c r="C65" s="29"/>
      <c r="D65" s="73"/>
      <c r="E65" s="29"/>
      <c r="F65" s="94"/>
      <c r="G65" s="35" t="s">
        <v>131</v>
      </c>
      <c r="H65" s="35">
        <f>5*5*2+5</f>
        <v>55</v>
      </c>
      <c r="I65" s="35">
        <v>0</v>
      </c>
      <c r="J65" s="35">
        <f t="shared" si="0"/>
        <v>0</v>
      </c>
      <c r="K65" s="107"/>
      <c r="L65" s="99" t="s">
        <v>132</v>
      </c>
      <c r="M65" s="103">
        <f>13888.6+2646+5796</f>
        <v>22330.6</v>
      </c>
      <c r="N65" s="104"/>
    </row>
    <row r="66" ht="16.5" spans="1:15">
      <c r="A66" s="28"/>
      <c r="B66" s="29"/>
      <c r="C66" s="29"/>
      <c r="D66" s="73"/>
      <c r="E66" s="29"/>
      <c r="F66" s="94"/>
      <c r="G66" s="35" t="s">
        <v>133</v>
      </c>
      <c r="H66" s="35">
        <v>7000</v>
      </c>
      <c r="I66" s="35">
        <v>0.15</v>
      </c>
      <c r="J66" s="35">
        <f t="shared" si="0"/>
        <v>1050</v>
      </c>
      <c r="K66" s="110"/>
      <c r="L66" s="102"/>
      <c r="M66" s="103"/>
      <c r="N66" s="104"/>
    </row>
    <row r="67" ht="16.5" spans="1:15">
      <c r="A67" s="28"/>
      <c r="B67" s="29"/>
      <c r="C67" s="29"/>
      <c r="D67" s="73"/>
      <c r="E67" s="29"/>
      <c r="F67" s="89" t="s">
        <v>121</v>
      </c>
      <c r="G67" s="34" t="s">
        <v>122</v>
      </c>
      <c r="H67" s="35">
        <f>7000</f>
        <v>7000</v>
      </c>
      <c r="I67" s="34">
        <f>0.042*4</f>
        <v>0.168</v>
      </c>
      <c r="J67" s="35">
        <f t="shared" ref="J67:J88" si="1">H67*I67</f>
        <v>1176</v>
      </c>
      <c r="K67" s="110"/>
      <c r="L67" s="102"/>
      <c r="M67" s="103"/>
      <c r="N67" s="104"/>
    </row>
    <row r="68" ht="16.5" spans="1:15">
      <c r="A68" s="28"/>
      <c r="B68" s="29"/>
      <c r="C68" s="29"/>
      <c r="D68" s="73"/>
      <c r="E68" s="29"/>
      <c r="F68" s="94" t="s">
        <v>134</v>
      </c>
      <c r="G68" s="35" t="s">
        <v>87</v>
      </c>
      <c r="H68" s="35">
        <v>7000</v>
      </c>
      <c r="I68" s="35">
        <v>0.24</v>
      </c>
      <c r="J68" s="35">
        <f t="shared" si="1"/>
        <v>1680</v>
      </c>
      <c r="K68" s="110"/>
      <c r="L68" s="102"/>
      <c r="M68" s="103"/>
      <c r="N68" s="104"/>
      <c r="O68">
        <f>13888.6+2646+5796</f>
        <v>22330.6</v>
      </c>
    </row>
    <row r="69" ht="16.5" spans="1:15">
      <c r="A69" s="28"/>
      <c r="B69" s="29"/>
      <c r="C69" s="29"/>
      <c r="D69" s="73"/>
      <c r="E69" s="29"/>
      <c r="F69" s="94"/>
      <c r="G69" s="35" t="s">
        <v>135</v>
      </c>
      <c r="H69" s="35">
        <v>7000</v>
      </c>
      <c r="I69" s="35">
        <v>0.22</v>
      </c>
      <c r="J69" s="35">
        <f t="shared" si="1"/>
        <v>1540</v>
      </c>
      <c r="K69" s="110"/>
      <c r="L69" s="102"/>
      <c r="M69" s="103"/>
      <c r="N69" s="104"/>
    </row>
    <row r="70" ht="16.5" spans="1:15">
      <c r="A70" s="28"/>
      <c r="B70" s="29"/>
      <c r="C70" s="29"/>
      <c r="D70" s="73"/>
      <c r="E70" s="29"/>
      <c r="F70" s="94"/>
      <c r="G70" s="34" t="s">
        <v>22</v>
      </c>
      <c r="H70" s="35">
        <v>7000</v>
      </c>
      <c r="I70" s="34">
        <v>0.11</v>
      </c>
      <c r="J70" s="35">
        <f t="shared" si="1"/>
        <v>770</v>
      </c>
      <c r="K70" s="110"/>
      <c r="L70" s="102"/>
      <c r="M70" s="103"/>
      <c r="N70" s="104"/>
    </row>
    <row r="71" ht="16.5" spans="1:15">
      <c r="A71" s="28">
        <v>45937</v>
      </c>
      <c r="B71" s="29" t="s">
        <v>39</v>
      </c>
      <c r="C71" s="65" t="s">
        <v>136</v>
      </c>
      <c r="D71" s="73" t="s">
        <v>137</v>
      </c>
      <c r="E71" s="29" t="s">
        <v>138</v>
      </c>
      <c r="F71" s="89" t="s">
        <v>139</v>
      </c>
      <c r="G71" s="35" t="s">
        <v>140</v>
      </c>
      <c r="H71" s="35">
        <v>25771</v>
      </c>
      <c r="I71" s="34">
        <v>1.07</v>
      </c>
      <c r="J71" s="35">
        <f t="shared" si="1"/>
        <v>27574.97</v>
      </c>
      <c r="K71" s="110"/>
      <c r="L71" s="102"/>
      <c r="M71" s="103"/>
      <c r="N71" s="104"/>
    </row>
    <row r="72" ht="16.5" spans="1:15">
      <c r="A72" s="28"/>
      <c r="B72" s="29"/>
      <c r="C72" s="29"/>
      <c r="D72" s="73"/>
      <c r="E72" s="29"/>
      <c r="F72" s="89"/>
      <c r="G72" s="35" t="s">
        <v>91</v>
      </c>
      <c r="H72" s="35">
        <v>200</v>
      </c>
      <c r="I72" s="34">
        <v>0</v>
      </c>
      <c r="J72" s="35">
        <f t="shared" si="1"/>
        <v>0</v>
      </c>
      <c r="K72" s="110"/>
      <c r="L72" s="102"/>
      <c r="M72" s="103"/>
      <c r="N72" s="104"/>
    </row>
    <row r="73" ht="16.5" spans="1:15">
      <c r="A73" s="28"/>
      <c r="B73" s="29"/>
      <c r="C73" s="29"/>
      <c r="D73" s="73"/>
      <c r="E73" s="29"/>
      <c r="F73" s="89"/>
      <c r="G73" s="35" t="s">
        <v>92</v>
      </c>
      <c r="H73" s="35">
        <f>5*5*2+10</f>
        <v>60</v>
      </c>
      <c r="I73" s="34">
        <v>0</v>
      </c>
      <c r="J73" s="35">
        <f t="shared" si="1"/>
        <v>0</v>
      </c>
      <c r="K73" s="110"/>
      <c r="L73" s="102"/>
      <c r="M73" s="105"/>
      <c r="N73" s="104"/>
    </row>
    <row r="74" ht="16.5" spans="1:15">
      <c r="A74" s="28"/>
      <c r="B74" s="29"/>
      <c r="C74" s="29"/>
      <c r="D74" s="73"/>
      <c r="E74" s="29"/>
      <c r="F74" s="89"/>
      <c r="G74" s="34" t="s">
        <v>122</v>
      </c>
      <c r="H74" s="35">
        <f>25020</f>
        <v>25020</v>
      </c>
      <c r="I74" s="34">
        <f>0.042*4</f>
        <v>0.168</v>
      </c>
      <c r="J74" s="35">
        <f t="shared" si="1"/>
        <v>4203.36</v>
      </c>
      <c r="K74" s="107"/>
      <c r="L74" s="108" t="s">
        <v>141</v>
      </c>
      <c r="M74" s="103">
        <f>1136.34+630+116.82</f>
        <v>1883.16</v>
      </c>
      <c r="N74" s="104"/>
    </row>
    <row r="75" ht="16.5" spans="1:15">
      <c r="A75" s="28"/>
      <c r="B75" s="29"/>
      <c r="C75" s="29"/>
      <c r="D75" s="73"/>
      <c r="E75" s="29"/>
      <c r="F75" s="89"/>
      <c r="G75" s="35" t="s">
        <v>87</v>
      </c>
      <c r="H75" s="35">
        <v>25020</v>
      </c>
      <c r="I75" s="35">
        <v>0.24</v>
      </c>
      <c r="J75" s="35">
        <f t="shared" si="1"/>
        <v>6004.8</v>
      </c>
      <c r="K75" s="110"/>
      <c r="L75" s="110"/>
      <c r="M75" s="103"/>
      <c r="N75" s="104"/>
    </row>
    <row r="76" ht="16.5" spans="1:15">
      <c r="A76" s="28"/>
      <c r="B76" s="29"/>
      <c r="C76" s="29"/>
      <c r="D76" s="73"/>
      <c r="E76" s="29"/>
      <c r="F76" s="89"/>
      <c r="G76" s="34" t="s">
        <v>22</v>
      </c>
      <c r="H76" s="35">
        <v>25020</v>
      </c>
      <c r="I76" s="34">
        <v>0.11</v>
      </c>
      <c r="J76" s="35">
        <f t="shared" si="1"/>
        <v>2752.2</v>
      </c>
      <c r="K76" s="110"/>
      <c r="L76" s="110"/>
      <c r="M76" s="103"/>
      <c r="N76" s="104"/>
      <c r="O76">
        <f>1136.34+630+116.82</f>
        <v>1883.16</v>
      </c>
    </row>
    <row r="77" ht="16.5" spans="1:15">
      <c r="A77" s="28">
        <v>45944</v>
      </c>
      <c r="B77" s="29" t="s">
        <v>39</v>
      </c>
      <c r="C77" s="65" t="s">
        <v>125</v>
      </c>
      <c r="D77" s="73" t="s">
        <v>142</v>
      </c>
      <c r="E77" s="29" t="s">
        <v>143</v>
      </c>
      <c r="F77" s="89" t="s">
        <v>144</v>
      </c>
      <c r="G77" s="35" t="s">
        <v>129</v>
      </c>
      <c r="H77" s="35">
        <v>210</v>
      </c>
      <c r="I77" s="35">
        <v>0.85</v>
      </c>
      <c r="J77" s="35">
        <f t="shared" si="1"/>
        <v>178.5</v>
      </c>
      <c r="K77" s="110"/>
      <c r="L77" s="110"/>
      <c r="M77" s="103"/>
      <c r="N77" s="104"/>
    </row>
    <row r="78" ht="16.5" spans="1:15">
      <c r="A78" s="28"/>
      <c r="B78" s="29"/>
      <c r="C78" s="29"/>
      <c r="D78" s="73"/>
      <c r="E78" s="29"/>
      <c r="F78" s="89"/>
      <c r="G78" s="35" t="s">
        <v>130</v>
      </c>
      <c r="H78" s="35">
        <v>2</v>
      </c>
      <c r="I78" s="35">
        <v>0</v>
      </c>
      <c r="J78" s="35">
        <f t="shared" si="1"/>
        <v>0</v>
      </c>
      <c r="K78" s="110"/>
      <c r="L78" s="110"/>
      <c r="M78" s="103"/>
      <c r="N78" s="104"/>
    </row>
    <row r="79" ht="16.5" spans="1:15">
      <c r="A79" s="28"/>
      <c r="B79" s="29"/>
      <c r="C79" s="29"/>
      <c r="D79" s="73"/>
      <c r="E79" s="29"/>
      <c r="F79" s="89"/>
      <c r="G79" s="35" t="s">
        <v>133</v>
      </c>
      <c r="H79" s="35">
        <v>153</v>
      </c>
      <c r="I79" s="35">
        <v>0.15</v>
      </c>
      <c r="J79" s="35">
        <f t="shared" si="1"/>
        <v>22.95</v>
      </c>
      <c r="K79" s="110"/>
      <c r="L79" s="113"/>
      <c r="M79" s="105"/>
      <c r="N79" s="104"/>
    </row>
    <row r="80" ht="16.5" spans="1:15">
      <c r="A80" s="28"/>
      <c r="B80" s="29"/>
      <c r="C80" s="29"/>
      <c r="D80" s="73"/>
      <c r="E80" s="29"/>
      <c r="F80" s="89"/>
      <c r="G80" s="34" t="s">
        <v>122</v>
      </c>
      <c r="H80" s="35">
        <f>153</f>
        <v>153</v>
      </c>
      <c r="I80" s="34">
        <f>0.042*4</f>
        <v>0.168</v>
      </c>
      <c r="J80" s="35">
        <f t="shared" si="1"/>
        <v>25.704</v>
      </c>
      <c r="K80" s="113"/>
      <c r="N80" s="104"/>
    </row>
    <row r="81" ht="16.5" spans="1:15">
      <c r="A81" s="28"/>
      <c r="B81" s="29"/>
      <c r="C81" s="29"/>
      <c r="D81" s="73"/>
      <c r="E81" s="29"/>
      <c r="F81" s="89"/>
      <c r="G81" s="35" t="s">
        <v>87</v>
      </c>
      <c r="H81" s="35">
        <v>153</v>
      </c>
      <c r="I81" s="35">
        <v>0.24</v>
      </c>
      <c r="J81" s="35">
        <f t="shared" si="1"/>
        <v>36.72</v>
      </c>
      <c r="K81" s="110"/>
      <c r="L81" s="108" t="s">
        <v>145</v>
      </c>
      <c r="M81" s="98">
        <f>6612.6+660+1260</f>
        <v>8532.6</v>
      </c>
      <c r="N81" s="104"/>
    </row>
    <row r="82" ht="16.5" spans="1:15">
      <c r="A82" s="28"/>
      <c r="B82" s="29"/>
      <c r="C82" s="29"/>
      <c r="D82" s="73"/>
      <c r="E82" s="29"/>
      <c r="F82" s="89"/>
      <c r="G82" s="35" t="s">
        <v>135</v>
      </c>
      <c r="H82" s="35">
        <v>153</v>
      </c>
      <c r="I82" s="35">
        <v>0.22</v>
      </c>
      <c r="J82" s="35">
        <f t="shared" si="1"/>
        <v>33.66</v>
      </c>
      <c r="K82" s="110"/>
      <c r="L82" s="110"/>
      <c r="M82" s="103"/>
      <c r="N82" s="104"/>
      <c r="O82">
        <f>6612.6+660+1260</f>
        <v>8532.6</v>
      </c>
    </row>
    <row r="83" ht="16.5" spans="1:15">
      <c r="A83" s="28">
        <v>45944</v>
      </c>
      <c r="B83" s="29" t="s">
        <v>39</v>
      </c>
      <c r="C83" s="65" t="s">
        <v>116</v>
      </c>
      <c r="D83" s="73" t="s">
        <v>146</v>
      </c>
      <c r="E83" s="29" t="s">
        <v>147</v>
      </c>
      <c r="F83" s="89" t="s">
        <v>144</v>
      </c>
      <c r="G83" s="35" t="s">
        <v>148</v>
      </c>
      <c r="H83" s="35">
        <v>211</v>
      </c>
      <c r="I83" s="34">
        <v>1.07</v>
      </c>
      <c r="J83" s="35">
        <f t="shared" si="1"/>
        <v>225.77</v>
      </c>
      <c r="K83" s="110"/>
      <c r="L83" s="110"/>
      <c r="M83" s="103"/>
      <c r="N83" s="104"/>
    </row>
    <row r="84" ht="16.5" spans="1:15">
      <c r="A84" s="28"/>
      <c r="B84" s="29"/>
      <c r="C84" s="29"/>
      <c r="D84" s="73"/>
      <c r="E84" s="29"/>
      <c r="F84" s="89"/>
      <c r="G84" s="35" t="s">
        <v>91</v>
      </c>
      <c r="H84" s="35">
        <v>2</v>
      </c>
      <c r="I84" s="34">
        <v>0</v>
      </c>
      <c r="J84" s="35">
        <f t="shared" si="1"/>
        <v>0</v>
      </c>
      <c r="K84" s="110"/>
      <c r="L84" s="110"/>
      <c r="M84" s="103"/>
      <c r="N84" s="104"/>
    </row>
    <row r="85" ht="16.5" spans="1:15">
      <c r="A85" s="89">
        <v>45952</v>
      </c>
      <c r="B85" s="65" t="s">
        <v>39</v>
      </c>
      <c r="C85" s="65">
        <v>40381</v>
      </c>
      <c r="D85" s="66" t="s">
        <v>149</v>
      </c>
      <c r="E85" s="65" t="s">
        <v>150</v>
      </c>
      <c r="F85" s="89" t="s">
        <v>151</v>
      </c>
      <c r="G85" s="35" t="s">
        <v>133</v>
      </c>
      <c r="H85" s="35">
        <v>473</v>
      </c>
      <c r="I85" s="35">
        <v>0.15</v>
      </c>
      <c r="J85" s="35">
        <f t="shared" si="1"/>
        <v>70.95</v>
      </c>
      <c r="K85" s="113"/>
      <c r="L85" s="113"/>
      <c r="M85" s="105"/>
      <c r="N85" s="131"/>
    </row>
    <row r="86" ht="16.5" spans="1:15">
      <c r="A86" s="89"/>
      <c r="B86" s="65"/>
      <c r="C86" s="65"/>
      <c r="D86" s="66"/>
      <c r="E86" s="65"/>
      <c r="F86" s="89"/>
      <c r="G86" s="35" t="s">
        <v>152</v>
      </c>
      <c r="H86" s="35">
        <v>473</v>
      </c>
      <c r="I86" s="35">
        <v>0.042</v>
      </c>
      <c r="J86" s="35">
        <f t="shared" si="1"/>
        <v>19.866</v>
      </c>
    </row>
    <row r="87" ht="16.5" spans="1:15">
      <c r="A87" s="89"/>
      <c r="B87" s="65"/>
      <c r="C87" s="65"/>
      <c r="D87" s="66"/>
      <c r="E87" s="65"/>
      <c r="F87" s="89" t="s">
        <v>153</v>
      </c>
      <c r="G87" s="35" t="s">
        <v>87</v>
      </c>
      <c r="H87" s="35">
        <v>473</v>
      </c>
      <c r="I87" s="35">
        <v>0.24</v>
      </c>
      <c r="J87" s="35">
        <f t="shared" si="1"/>
        <v>113.52</v>
      </c>
    </row>
    <row r="88" ht="16.5" spans="1:15">
      <c r="A88" s="89"/>
      <c r="B88" s="65"/>
      <c r="C88" s="65"/>
      <c r="D88" s="66"/>
      <c r="E88" s="65"/>
      <c r="F88" s="89"/>
      <c r="G88" s="35" t="s">
        <v>135</v>
      </c>
      <c r="H88" s="35">
        <v>473</v>
      </c>
      <c r="I88" s="35">
        <v>0.22</v>
      </c>
      <c r="J88" s="35">
        <f t="shared" si="1"/>
        <v>104.06</v>
      </c>
    </row>
    <row r="89" ht="16.5" spans="1:15">
      <c r="A89" s="28">
        <v>45952</v>
      </c>
      <c r="B89" s="29" t="s">
        <v>39</v>
      </c>
      <c r="C89" s="65" t="s">
        <v>154</v>
      </c>
      <c r="D89" s="73" t="s">
        <v>155</v>
      </c>
      <c r="E89" s="29" t="s">
        <v>156</v>
      </c>
      <c r="F89" s="89" t="s">
        <v>157</v>
      </c>
      <c r="G89" s="35" t="s">
        <v>158</v>
      </c>
      <c r="H89" s="35">
        <f>21000*1.03</f>
        <v>21630</v>
      </c>
      <c r="I89" s="35">
        <v>0.85</v>
      </c>
      <c r="J89" s="35">
        <f t="shared" ref="J89:J100" si="2">H89*I89</f>
        <v>18385.5</v>
      </c>
    </row>
    <row r="90" ht="16.5" spans="1:15">
      <c r="A90" s="28"/>
      <c r="B90" s="29"/>
      <c r="C90" s="29"/>
      <c r="D90" s="73"/>
      <c r="E90" s="29"/>
      <c r="F90" s="89"/>
      <c r="G90" s="35" t="s">
        <v>130</v>
      </c>
      <c r="H90" s="35">
        <f>21000*0.01</f>
        <v>210</v>
      </c>
      <c r="I90" s="35">
        <v>0</v>
      </c>
      <c r="J90" s="35">
        <f t="shared" si="2"/>
        <v>0</v>
      </c>
    </row>
    <row r="91" ht="16.5" spans="1:15">
      <c r="A91" s="28"/>
      <c r="B91" s="29"/>
      <c r="C91" s="29"/>
      <c r="D91" s="73"/>
      <c r="E91" s="29"/>
      <c r="F91" s="89"/>
      <c r="G91" s="35" t="s">
        <v>133</v>
      </c>
      <c r="H91" s="35">
        <v>20374</v>
      </c>
      <c r="I91" s="35">
        <v>0.15</v>
      </c>
      <c r="J91" s="35">
        <f t="shared" si="2"/>
        <v>3056.1</v>
      </c>
    </row>
    <row r="92" ht="16.5" spans="1:15">
      <c r="A92" s="28"/>
      <c r="B92" s="29"/>
      <c r="C92" s="29"/>
      <c r="D92" s="73"/>
      <c r="E92" s="29"/>
      <c r="F92" s="89" t="s">
        <v>153</v>
      </c>
      <c r="G92" s="34" t="s">
        <v>122</v>
      </c>
      <c r="H92" s="35">
        <f>21000</f>
        <v>21000</v>
      </c>
      <c r="I92" s="34">
        <f>0.042*4</f>
        <v>0.168</v>
      </c>
      <c r="J92" s="34">
        <f t="shared" si="2"/>
        <v>3528</v>
      </c>
    </row>
    <row r="93" ht="16.5" spans="1:15">
      <c r="A93" s="28"/>
      <c r="B93" s="29"/>
      <c r="C93" s="29"/>
      <c r="D93" s="73"/>
      <c r="E93" s="29"/>
      <c r="F93" s="89" t="s">
        <v>159</v>
      </c>
      <c r="G93" s="35" t="s">
        <v>133</v>
      </c>
      <c r="H93" s="35">
        <v>3046</v>
      </c>
      <c r="I93" s="35">
        <v>0.15</v>
      </c>
      <c r="J93" s="35">
        <f t="shared" si="2"/>
        <v>456.9</v>
      </c>
    </row>
    <row r="94" ht="16.5" spans="1:15">
      <c r="A94" s="28"/>
      <c r="B94" s="29"/>
      <c r="C94" s="29"/>
      <c r="D94" s="73"/>
      <c r="E94" s="29"/>
      <c r="F94" s="89"/>
      <c r="G94" s="35" t="s">
        <v>129</v>
      </c>
      <c r="H94" s="35">
        <v>4445</v>
      </c>
      <c r="I94" s="35">
        <v>0.85</v>
      </c>
      <c r="J94" s="35">
        <f t="shared" si="2"/>
        <v>3778.25</v>
      </c>
    </row>
    <row r="95" ht="16.5" spans="1:15">
      <c r="A95" s="28"/>
      <c r="B95" s="29"/>
      <c r="C95" s="29"/>
      <c r="D95" s="73"/>
      <c r="E95" s="29"/>
      <c r="F95" s="89"/>
      <c r="G95" s="35" t="s">
        <v>130</v>
      </c>
      <c r="H95" s="35">
        <v>45</v>
      </c>
      <c r="I95" s="35">
        <v>0</v>
      </c>
      <c r="J95" s="35">
        <f t="shared" si="2"/>
        <v>0</v>
      </c>
    </row>
    <row r="96" ht="16.5" spans="1:15">
      <c r="A96" s="28"/>
      <c r="B96" s="29"/>
      <c r="C96" s="29"/>
      <c r="D96" s="73"/>
      <c r="E96" s="29"/>
      <c r="F96" s="89"/>
      <c r="G96" s="34" t="s">
        <v>122</v>
      </c>
      <c r="H96" s="35">
        <f>2464</f>
        <v>2464</v>
      </c>
      <c r="I96" s="34">
        <f>0.042*4</f>
        <v>0.168</v>
      </c>
      <c r="J96" s="34">
        <f t="shared" si="2"/>
        <v>413.952</v>
      </c>
    </row>
    <row r="97" ht="16.5" spans="1:15">
      <c r="A97" s="28"/>
      <c r="B97" s="29"/>
      <c r="C97" s="29"/>
      <c r="D97" s="73"/>
      <c r="E97" s="29"/>
      <c r="F97" s="62" t="s">
        <v>160</v>
      </c>
      <c r="G97" s="35" t="s">
        <v>87</v>
      </c>
      <c r="H97" s="35">
        <v>23477</v>
      </c>
      <c r="I97" s="35">
        <v>0.24</v>
      </c>
      <c r="J97" s="34">
        <f t="shared" si="2"/>
        <v>5634.48</v>
      </c>
    </row>
    <row r="98" ht="16.5" spans="1:15">
      <c r="A98" s="28"/>
      <c r="B98" s="29"/>
      <c r="C98" s="29"/>
      <c r="D98" s="73"/>
      <c r="E98" s="29"/>
      <c r="F98" s="62"/>
      <c r="G98" s="34" t="s">
        <v>22</v>
      </c>
      <c r="H98" s="35">
        <v>23477</v>
      </c>
      <c r="I98" s="34">
        <v>0.11</v>
      </c>
      <c r="J98" s="34">
        <f t="shared" si="2"/>
        <v>2582.47</v>
      </c>
    </row>
    <row r="99" ht="16.5" spans="1:15">
      <c r="A99" s="28"/>
      <c r="B99" s="29"/>
      <c r="C99" s="29"/>
      <c r="D99" s="73"/>
      <c r="E99" s="29"/>
      <c r="F99" s="62"/>
      <c r="G99" s="35" t="s">
        <v>135</v>
      </c>
      <c r="H99" s="35">
        <v>23477</v>
      </c>
      <c r="I99" s="35">
        <v>0.22</v>
      </c>
      <c r="J99" s="34">
        <f t="shared" si="2"/>
        <v>5164.94</v>
      </c>
    </row>
    <row r="100" ht="16.5" spans="1:15">
      <c r="A100" s="28"/>
      <c r="B100" s="29"/>
      <c r="C100" s="29"/>
      <c r="D100" s="73"/>
      <c r="E100" s="29"/>
      <c r="F100" s="62"/>
      <c r="G100" s="35" t="s">
        <v>161</v>
      </c>
      <c r="H100" s="35">
        <f>180+160+120+175+100+145</f>
        <v>880</v>
      </c>
      <c r="I100" s="35">
        <v>0.24</v>
      </c>
      <c r="J100" s="34">
        <f t="shared" si="2"/>
        <v>211.2</v>
      </c>
      <c r="M100" s="133">
        <f>SUM(M2:M99)</f>
        <v>209129.48</v>
      </c>
      <c r="O100">
        <v>209129.48</v>
      </c>
    </row>
    <row r="101" ht="16.5" spans="1:15">
      <c r="J101" s="134">
        <f>SUM(J3:J100)</f>
        <v>220872.112</v>
      </c>
    </row>
  </sheetData>
  <autoFilter xmlns:etc="http://www.wps.cn/officeDocument/2017/etCustomData" ref="A1:J101" etc:filterBottomFollowUsedRange="0">
    <extLst/>
  </autoFilter>
  <mergeCells count="162">
    <mergeCell ref="A1:J1"/>
    <mergeCell ref="A3:A6"/>
    <mergeCell ref="A8:A11"/>
    <mergeCell ref="A12:A15"/>
    <mergeCell ref="A16:A19"/>
    <mergeCell ref="A20:A23"/>
    <mergeCell ref="A24:A29"/>
    <mergeCell ref="A30:A38"/>
    <mergeCell ref="A39:A40"/>
    <mergeCell ref="A41:A45"/>
    <mergeCell ref="A46:A50"/>
    <mergeCell ref="A51:A56"/>
    <mergeCell ref="A57:A62"/>
    <mergeCell ref="A63:A70"/>
    <mergeCell ref="A71:A76"/>
    <mergeCell ref="A77:A82"/>
    <mergeCell ref="A83:A84"/>
    <mergeCell ref="A85:A88"/>
    <mergeCell ref="A89:A100"/>
    <mergeCell ref="B3:B6"/>
    <mergeCell ref="B8:B11"/>
    <mergeCell ref="B12:B15"/>
    <mergeCell ref="B16:B19"/>
    <mergeCell ref="B20:B23"/>
    <mergeCell ref="B24:B29"/>
    <mergeCell ref="B30:B38"/>
    <mergeCell ref="B39:B40"/>
    <mergeCell ref="B41:B45"/>
    <mergeCell ref="B46:B50"/>
    <mergeCell ref="B51:B56"/>
    <mergeCell ref="B57:B62"/>
    <mergeCell ref="B63:B70"/>
    <mergeCell ref="B71:B76"/>
    <mergeCell ref="B77:B82"/>
    <mergeCell ref="B83:B84"/>
    <mergeCell ref="B85:B88"/>
    <mergeCell ref="B89:B100"/>
    <mergeCell ref="C3:C6"/>
    <mergeCell ref="C8:C11"/>
    <mergeCell ref="C12:C15"/>
    <mergeCell ref="C16:C19"/>
    <mergeCell ref="C20:C23"/>
    <mergeCell ref="C24:C29"/>
    <mergeCell ref="C30:C38"/>
    <mergeCell ref="C39:C40"/>
    <mergeCell ref="C41:C45"/>
    <mergeCell ref="C46:C50"/>
    <mergeCell ref="C51:C56"/>
    <mergeCell ref="C57:C62"/>
    <mergeCell ref="C63:C70"/>
    <mergeCell ref="C71:C76"/>
    <mergeCell ref="C77:C82"/>
    <mergeCell ref="C83:C84"/>
    <mergeCell ref="C85:C88"/>
    <mergeCell ref="C89:C100"/>
    <mergeCell ref="D3:D6"/>
    <mergeCell ref="D8:D11"/>
    <mergeCell ref="D12:D15"/>
    <mergeCell ref="D16:D19"/>
    <mergeCell ref="D20:D23"/>
    <mergeCell ref="D24:D29"/>
    <mergeCell ref="D30:D38"/>
    <mergeCell ref="D39:D40"/>
    <mergeCell ref="D41:D45"/>
    <mergeCell ref="D46:D50"/>
    <mergeCell ref="D51:D56"/>
    <mergeCell ref="D57:D62"/>
    <mergeCell ref="D63:D70"/>
    <mergeCell ref="D71:D76"/>
    <mergeCell ref="D77:D82"/>
    <mergeCell ref="D83:D84"/>
    <mergeCell ref="D85:D88"/>
    <mergeCell ref="D89:D100"/>
    <mergeCell ref="E3:E6"/>
    <mergeCell ref="E8:E11"/>
    <mergeCell ref="E12:E15"/>
    <mergeCell ref="E16:E19"/>
    <mergeCell ref="E20:E23"/>
    <mergeCell ref="E24:E29"/>
    <mergeCell ref="E30:E38"/>
    <mergeCell ref="E39:E40"/>
    <mergeCell ref="E41:E45"/>
    <mergeCell ref="E46:E50"/>
    <mergeCell ref="E51:E56"/>
    <mergeCell ref="E57:E62"/>
    <mergeCell ref="E63:E70"/>
    <mergeCell ref="E71:E76"/>
    <mergeCell ref="E77:E82"/>
    <mergeCell ref="E83:E84"/>
    <mergeCell ref="E85:E88"/>
    <mergeCell ref="E89:E100"/>
    <mergeCell ref="F3:F6"/>
    <mergeCell ref="F8:F9"/>
    <mergeCell ref="F12:F13"/>
    <mergeCell ref="F14:F15"/>
    <mergeCell ref="F16:F17"/>
    <mergeCell ref="F18:F19"/>
    <mergeCell ref="F20:F21"/>
    <mergeCell ref="F22:F23"/>
    <mergeCell ref="F24:F25"/>
    <mergeCell ref="F26:F28"/>
    <mergeCell ref="F30:F38"/>
    <mergeCell ref="F39:F40"/>
    <mergeCell ref="F41:F45"/>
    <mergeCell ref="F46:F50"/>
    <mergeCell ref="F51:F53"/>
    <mergeCell ref="F54:F55"/>
    <mergeCell ref="F57:F59"/>
    <mergeCell ref="F61:F62"/>
    <mergeCell ref="F63:F66"/>
    <mergeCell ref="F68:F70"/>
    <mergeCell ref="F71:F76"/>
    <mergeCell ref="F77:F82"/>
    <mergeCell ref="F83:F84"/>
    <mergeCell ref="F85:F86"/>
    <mergeCell ref="F87:F88"/>
    <mergeCell ref="F89:F91"/>
    <mergeCell ref="F93:F96"/>
    <mergeCell ref="F97:F100"/>
    <mergeCell ref="K2:K9"/>
    <mergeCell ref="K11:K18"/>
    <mergeCell ref="K19:K24"/>
    <mergeCell ref="K26:K30"/>
    <mergeCell ref="K32:K36"/>
    <mergeCell ref="K37:K40"/>
    <mergeCell ref="K43:K46"/>
    <mergeCell ref="K47:K50"/>
    <mergeCell ref="K51:K57"/>
    <mergeCell ref="K59:K61"/>
    <mergeCell ref="K62:K64"/>
    <mergeCell ref="K65:K73"/>
    <mergeCell ref="K74:K80"/>
    <mergeCell ref="K81:K85"/>
    <mergeCell ref="L2:L9"/>
    <mergeCell ref="L11:L18"/>
    <mergeCell ref="L19:L24"/>
    <mergeCell ref="L26:L30"/>
    <mergeCell ref="L32:L36"/>
    <mergeCell ref="L37:L40"/>
    <mergeCell ref="L43:L46"/>
    <mergeCell ref="L47:L50"/>
    <mergeCell ref="L51:L57"/>
    <mergeCell ref="L59:L61"/>
    <mergeCell ref="L62:L64"/>
    <mergeCell ref="L65:L73"/>
    <mergeCell ref="L74:L79"/>
    <mergeCell ref="L81:L85"/>
    <mergeCell ref="M2:M9"/>
    <mergeCell ref="M11:M18"/>
    <mergeCell ref="M19:M24"/>
    <mergeCell ref="M26:M30"/>
    <mergeCell ref="M32:M36"/>
    <mergeCell ref="M37:M40"/>
    <mergeCell ref="M43:M46"/>
    <mergeCell ref="M47:M50"/>
    <mergeCell ref="M51:M57"/>
    <mergeCell ref="M59:M61"/>
    <mergeCell ref="M62:M64"/>
    <mergeCell ref="M65:M73"/>
    <mergeCell ref="M74:M79"/>
    <mergeCell ref="M81:M85"/>
    <mergeCell ref="N2:N85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1"/>
  <sheetViews>
    <sheetView topLeftCell="D72" workbookViewId="0">
      <selection activeCell="K101" sqref="K101"/>
    </sheetView>
  </sheetViews>
  <sheetFormatPr defaultColWidth="8.72727272727273" defaultRowHeight="14"/>
  <cols>
    <col min="1" max="1" width="13.1818181818182" hidden="1" customWidth="1"/>
    <col min="2" max="2" width="10.7272727272727" hidden="1" customWidth="1"/>
    <col min="3" max="3" width="8.27272727272727" style="24" hidden="1" customWidth="1"/>
    <col min="4" max="4" width="24.0909090909091" customWidth="1"/>
    <col min="5" max="5" width="33.6363636363636" customWidth="1"/>
    <col min="6" max="6" width="17.3636363636364" style="25" hidden="1" customWidth="1"/>
    <col min="7" max="7" width="56.0909090909091" customWidth="1"/>
    <col min="8" max="8" width="9.45454545454546" customWidth="1"/>
    <col min="9" max="9" width="12.3636363636364" customWidth="1"/>
    <col min="10" max="10" width="13.5454545454545" customWidth="1"/>
    <col min="11" max="11" width="71.7545454545455" customWidth="1"/>
    <col min="12" max="12" width="14.7545454545455" customWidth="1"/>
    <col min="13" max="13" width="10.5454545454545"/>
    <col min="15" max="15" width="9.54545454545454"/>
  </cols>
  <sheetData>
    <row r="1" s="1" customFormat="1" ht="21" spans="1:15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  <c r="K1" s="1" t="s">
        <v>51</v>
      </c>
      <c r="L1" s="1" t="s">
        <v>52</v>
      </c>
      <c r="M1" s="1" t="s">
        <v>53</v>
      </c>
      <c r="N1" s="97" t="s">
        <v>54</v>
      </c>
    </row>
    <row r="2" s="1" customFormat="1" customHeight="1" spans="1:15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55</v>
      </c>
      <c r="K2" s="98"/>
      <c r="L2" s="99" t="s">
        <v>56</v>
      </c>
      <c r="M2" s="98">
        <f>5184.55+4355.02+5184.55+1849.68+2280</f>
        <v>18853.8</v>
      </c>
      <c r="N2" s="100" t="s">
        <v>57</v>
      </c>
    </row>
    <row r="3" s="1" customFormat="1" ht="16.5" customHeight="1" spans="1:15">
      <c r="A3" s="55">
        <v>45524</v>
      </c>
      <c r="B3" s="34" t="s">
        <v>39</v>
      </c>
      <c r="C3" s="29">
        <v>61802</v>
      </c>
      <c r="D3" s="56" t="s">
        <v>58</v>
      </c>
      <c r="E3" s="29" t="s">
        <v>59</v>
      </c>
      <c r="F3" s="34" t="s">
        <v>60</v>
      </c>
      <c r="G3" s="35" t="s">
        <v>37</v>
      </c>
      <c r="H3" s="35">
        <v>6000</v>
      </c>
      <c r="I3" s="57">
        <v>0.368</v>
      </c>
      <c r="J3" s="101">
        <f t="shared" ref="J3:J66" si="0">H3*I3</f>
        <v>2208</v>
      </c>
      <c r="K3" s="25"/>
      <c r="L3" s="102"/>
      <c r="M3" s="103"/>
      <c r="N3" s="104"/>
    </row>
    <row r="4" s="1" customFormat="1" ht="16.5" spans="1:15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101">
        <f t="shared" si="0"/>
        <v>1764</v>
      </c>
      <c r="K4" s="25"/>
      <c r="L4" s="102"/>
      <c r="M4" s="103"/>
      <c r="N4" s="104"/>
      <c r="O4" s="1">
        <f>5184.55+4355.02+5184.55+1849.68+2280</f>
        <v>18853.8</v>
      </c>
    </row>
    <row r="5" s="1" customFormat="1" ht="16.5" spans="1:15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101">
        <f t="shared" si="0"/>
        <v>1764</v>
      </c>
      <c r="K5" s="25"/>
      <c r="L5" s="102"/>
      <c r="M5" s="103"/>
      <c r="N5" s="104"/>
    </row>
    <row r="6" s="1" customFormat="1" ht="16.5" spans="1:15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101">
        <f t="shared" si="0"/>
        <v>696</v>
      </c>
      <c r="K6" s="25"/>
      <c r="L6" s="102"/>
      <c r="M6" s="103"/>
      <c r="N6" s="104"/>
    </row>
    <row r="7" s="1" customFormat="1" ht="16.5" spans="1:15">
      <c r="A7" s="62">
        <v>45679</v>
      </c>
      <c r="B7" s="34" t="s">
        <v>39</v>
      </c>
      <c r="C7" s="29" t="s">
        <v>43</v>
      </c>
      <c r="D7" s="30" t="s">
        <v>61</v>
      </c>
      <c r="E7" s="39" t="s">
        <v>43</v>
      </c>
      <c r="F7" s="29" t="s">
        <v>62</v>
      </c>
      <c r="G7" s="32" t="s">
        <v>63</v>
      </c>
      <c r="H7" s="32">
        <v>2000</v>
      </c>
      <c r="I7" s="32">
        <v>0.05</v>
      </c>
      <c r="J7" s="101">
        <f t="shared" si="0"/>
        <v>100</v>
      </c>
      <c r="K7" s="25"/>
      <c r="L7" s="102"/>
      <c r="M7" s="103"/>
      <c r="N7" s="104"/>
    </row>
    <row r="8" ht="16.5" spans="1:15">
      <c r="A8" s="28">
        <v>45841</v>
      </c>
      <c r="B8" s="28" t="s">
        <v>39</v>
      </c>
      <c r="C8" s="28" t="s">
        <v>64</v>
      </c>
      <c r="D8" s="83" t="s">
        <v>65</v>
      </c>
      <c r="E8" s="28" t="s">
        <v>66</v>
      </c>
      <c r="F8" s="87" t="s">
        <v>67</v>
      </c>
      <c r="G8" s="34" t="s">
        <v>68</v>
      </c>
      <c r="H8" s="34">
        <v>5150</v>
      </c>
      <c r="I8" s="68">
        <v>1.07</v>
      </c>
      <c r="J8" s="101">
        <f t="shared" si="0"/>
        <v>5510.5</v>
      </c>
      <c r="K8" s="25"/>
      <c r="L8" s="102"/>
      <c r="M8" s="103"/>
      <c r="N8" s="104"/>
    </row>
    <row r="9" ht="16.5" spans="1:15">
      <c r="A9" s="28"/>
      <c r="B9" s="28"/>
      <c r="C9" s="28"/>
      <c r="D9" s="83"/>
      <c r="E9" s="28"/>
      <c r="F9" s="88"/>
      <c r="G9" s="34" t="s">
        <v>69</v>
      </c>
      <c r="H9" s="34">
        <v>52</v>
      </c>
      <c r="I9" s="68">
        <v>0</v>
      </c>
      <c r="J9" s="101">
        <f t="shared" si="0"/>
        <v>0</v>
      </c>
      <c r="K9" s="105"/>
      <c r="L9" s="106"/>
      <c r="M9" s="105"/>
      <c r="N9" s="104"/>
    </row>
    <row r="10" ht="16.5" spans="1:15">
      <c r="A10" s="28"/>
      <c r="B10" s="28"/>
      <c r="C10" s="28"/>
      <c r="D10" s="83"/>
      <c r="E10" s="28"/>
      <c r="F10" s="87" t="s">
        <v>67</v>
      </c>
      <c r="G10" s="34" t="s">
        <v>70</v>
      </c>
      <c r="H10" s="34">
        <f>5000</f>
        <v>5000</v>
      </c>
      <c r="I10" s="34">
        <f>0.042*5</f>
        <v>0.21</v>
      </c>
      <c r="J10" s="101">
        <f t="shared" si="0"/>
        <v>1050</v>
      </c>
      <c r="N10" s="104"/>
    </row>
    <row r="11" ht="16.5" spans="1:15">
      <c r="A11" s="28"/>
      <c r="B11" s="28"/>
      <c r="C11" s="28"/>
      <c r="D11" s="83"/>
      <c r="E11" s="28"/>
      <c r="F11" s="87" t="s">
        <v>67</v>
      </c>
      <c r="G11" s="34" t="s">
        <v>71</v>
      </c>
      <c r="H11" s="34">
        <v>5000</v>
      </c>
      <c r="I11" s="34">
        <v>0.11</v>
      </c>
      <c r="J11" s="101">
        <f t="shared" si="0"/>
        <v>550</v>
      </c>
      <c r="K11" s="107"/>
      <c r="L11" s="108" t="s">
        <v>72</v>
      </c>
      <c r="M11" s="98">
        <f>16545.41+5674.91+5254.55</f>
        <v>27474.87</v>
      </c>
      <c r="N11" s="104"/>
    </row>
    <row r="12" ht="16.5" spans="1:15">
      <c r="A12" s="28">
        <v>45842</v>
      </c>
      <c r="B12" s="29" t="s">
        <v>39</v>
      </c>
      <c r="C12" s="29" t="s">
        <v>73</v>
      </c>
      <c r="D12" s="73" t="s">
        <v>74</v>
      </c>
      <c r="E12" s="29" t="s">
        <v>75</v>
      </c>
      <c r="F12" s="87" t="s">
        <v>67</v>
      </c>
      <c r="G12" s="35" t="s">
        <v>68</v>
      </c>
      <c r="H12" s="109">
        <v>18334</v>
      </c>
      <c r="I12" s="68">
        <v>1.07</v>
      </c>
      <c r="J12" s="101">
        <f t="shared" si="0"/>
        <v>19617.38</v>
      </c>
      <c r="K12" s="110"/>
      <c r="L12" s="110"/>
      <c r="M12" s="103"/>
      <c r="N12" s="104"/>
    </row>
    <row r="13" ht="16.5" spans="1:15">
      <c r="A13" s="28"/>
      <c r="B13" s="29"/>
      <c r="C13" s="29"/>
      <c r="D13" s="73"/>
      <c r="E13" s="29"/>
      <c r="F13" s="88"/>
      <c r="G13" s="35" t="s">
        <v>69</v>
      </c>
      <c r="H13" s="68">
        <v>183</v>
      </c>
      <c r="I13" s="68">
        <v>0</v>
      </c>
      <c r="J13" s="101">
        <f t="shared" si="0"/>
        <v>0</v>
      </c>
      <c r="K13" s="110"/>
      <c r="L13" s="110"/>
      <c r="M13" s="103"/>
      <c r="N13" s="104"/>
      <c r="O13">
        <f>16545.41+5674.91+5254.55</f>
        <v>27474.87</v>
      </c>
    </row>
    <row r="14" ht="16.5" spans="1:15">
      <c r="A14" s="28"/>
      <c r="B14" s="29"/>
      <c r="C14" s="29"/>
      <c r="D14" s="73"/>
      <c r="E14" s="29"/>
      <c r="F14" s="87" t="s">
        <v>67</v>
      </c>
      <c r="G14" s="34" t="s">
        <v>22</v>
      </c>
      <c r="H14" s="34">
        <v>17800</v>
      </c>
      <c r="I14" s="34">
        <v>0.11</v>
      </c>
      <c r="J14" s="101">
        <f t="shared" si="0"/>
        <v>1958</v>
      </c>
      <c r="K14" s="110"/>
      <c r="L14" s="110"/>
      <c r="M14" s="103"/>
      <c r="N14" s="104"/>
    </row>
    <row r="15" ht="16.5" spans="1:15">
      <c r="A15" s="28"/>
      <c r="B15" s="29"/>
      <c r="C15" s="29"/>
      <c r="D15" s="73"/>
      <c r="E15" s="29"/>
      <c r="F15" s="88"/>
      <c r="G15" s="34" t="s">
        <v>70</v>
      </c>
      <c r="H15" s="34">
        <f>17800</f>
        <v>17800</v>
      </c>
      <c r="I15" s="34">
        <f>0.042*5</f>
        <v>0.21</v>
      </c>
      <c r="J15" s="101">
        <f t="shared" si="0"/>
        <v>3738</v>
      </c>
      <c r="K15" s="110"/>
      <c r="L15" s="110"/>
      <c r="M15" s="103"/>
      <c r="N15" s="104"/>
    </row>
    <row r="16" ht="16.5" spans="1:15">
      <c r="A16" s="28">
        <v>45849</v>
      </c>
      <c r="B16" s="28" t="s">
        <v>39</v>
      </c>
      <c r="C16" s="111">
        <v>85358</v>
      </c>
      <c r="D16" s="83" t="s">
        <v>76</v>
      </c>
      <c r="E16" s="28" t="s">
        <v>77</v>
      </c>
      <c r="F16" s="28" t="s">
        <v>67</v>
      </c>
      <c r="G16" s="34" t="s">
        <v>78</v>
      </c>
      <c r="H16" s="34">
        <f>2000*1.03</f>
        <v>2060</v>
      </c>
      <c r="I16" s="112">
        <v>1.07</v>
      </c>
      <c r="J16" s="101">
        <f t="shared" si="0"/>
        <v>2204.2</v>
      </c>
      <c r="K16" s="110"/>
      <c r="L16" s="110"/>
      <c r="M16" s="103"/>
      <c r="N16" s="104"/>
    </row>
    <row r="17" ht="16.5" spans="1:15">
      <c r="A17" s="28"/>
      <c r="B17" s="28"/>
      <c r="C17" s="86"/>
      <c r="D17" s="83"/>
      <c r="E17" s="28"/>
      <c r="F17" s="28"/>
      <c r="G17" s="34" t="s">
        <v>69</v>
      </c>
      <c r="H17" s="34">
        <f>2000*0.01</f>
        <v>20</v>
      </c>
      <c r="I17" s="112">
        <v>0</v>
      </c>
      <c r="J17" s="101">
        <f t="shared" si="0"/>
        <v>0</v>
      </c>
      <c r="K17" s="110"/>
      <c r="L17" s="110"/>
      <c r="M17" s="103"/>
      <c r="N17" s="104"/>
    </row>
    <row r="18" ht="16.5" spans="1:15">
      <c r="A18" s="28"/>
      <c r="B18" s="28"/>
      <c r="C18" s="86"/>
      <c r="D18" s="83"/>
      <c r="E18" s="28"/>
      <c r="F18" s="88" t="s">
        <v>79</v>
      </c>
      <c r="G18" s="34" t="s">
        <v>70</v>
      </c>
      <c r="H18" s="34">
        <f>2000</f>
        <v>2000</v>
      </c>
      <c r="I18" s="85">
        <f>0.042*5</f>
        <v>0.21</v>
      </c>
      <c r="J18" s="101">
        <f t="shared" si="0"/>
        <v>420</v>
      </c>
      <c r="K18" s="110"/>
      <c r="L18" s="113"/>
      <c r="M18" s="105"/>
      <c r="N18" s="104"/>
    </row>
    <row r="19" ht="16.5" spans="1:15">
      <c r="A19" s="28"/>
      <c r="B19" s="28"/>
      <c r="C19" s="86"/>
      <c r="D19" s="83"/>
      <c r="E19" s="28"/>
      <c r="F19" s="88"/>
      <c r="G19" s="34" t="s">
        <v>71</v>
      </c>
      <c r="H19" s="34">
        <v>2000</v>
      </c>
      <c r="I19" s="85">
        <v>0.11</v>
      </c>
      <c r="J19" s="101">
        <f t="shared" si="0"/>
        <v>220</v>
      </c>
      <c r="K19" s="98"/>
      <c r="L19" s="114" t="s">
        <v>80</v>
      </c>
      <c r="M19" s="103">
        <f>11021+2100+4124</f>
        <v>17245</v>
      </c>
      <c r="N19" s="104"/>
    </row>
    <row r="20" ht="16.5" spans="1:15">
      <c r="A20" s="28">
        <v>45849</v>
      </c>
      <c r="B20" s="29" t="s">
        <v>39</v>
      </c>
      <c r="C20" s="29">
        <v>85359</v>
      </c>
      <c r="D20" s="73" t="s">
        <v>81</v>
      </c>
      <c r="E20" s="29" t="s">
        <v>82</v>
      </c>
      <c r="F20" s="28" t="s">
        <v>67</v>
      </c>
      <c r="G20" s="34" t="s">
        <v>68</v>
      </c>
      <c r="H20" s="34">
        <f>1000*1.03</f>
        <v>1030</v>
      </c>
      <c r="I20" s="85">
        <v>1.07</v>
      </c>
      <c r="J20" s="101">
        <f t="shared" si="0"/>
        <v>1102.1</v>
      </c>
      <c r="K20" s="103"/>
      <c r="L20" s="102"/>
      <c r="M20" s="103"/>
      <c r="N20" s="104"/>
    </row>
    <row r="21" ht="16.5" spans="1:15">
      <c r="A21" s="28"/>
      <c r="B21" s="28"/>
      <c r="C21" s="86"/>
      <c r="D21" s="83"/>
      <c r="E21" s="28"/>
      <c r="F21" s="28"/>
      <c r="G21" s="34" t="s">
        <v>69</v>
      </c>
      <c r="H21" s="34">
        <f>1000*0.01</f>
        <v>10</v>
      </c>
      <c r="I21" s="85">
        <v>0</v>
      </c>
      <c r="J21" s="101">
        <f t="shared" si="0"/>
        <v>0</v>
      </c>
      <c r="K21" s="103"/>
      <c r="L21" s="102"/>
      <c r="M21" s="103"/>
      <c r="N21" s="104"/>
      <c r="O21">
        <f>11021+2100+4124</f>
        <v>17245</v>
      </c>
    </row>
    <row r="22" ht="16.5" spans="1:15">
      <c r="A22" s="28"/>
      <c r="B22" s="28"/>
      <c r="C22" s="86"/>
      <c r="D22" s="83"/>
      <c r="E22" s="28"/>
      <c r="F22" s="28" t="s">
        <v>79</v>
      </c>
      <c r="G22" s="34" t="s">
        <v>70</v>
      </c>
      <c r="H22" s="34">
        <f>1000</f>
        <v>1000</v>
      </c>
      <c r="I22" s="85">
        <f>0.042*5</f>
        <v>0.21</v>
      </c>
      <c r="J22" s="101">
        <f t="shared" si="0"/>
        <v>210</v>
      </c>
      <c r="K22" s="103"/>
      <c r="L22" s="102"/>
      <c r="M22" s="103"/>
      <c r="N22" s="104"/>
    </row>
    <row r="23" ht="16.5" spans="1:15">
      <c r="A23" s="28"/>
      <c r="B23" s="29"/>
      <c r="C23" s="29"/>
      <c r="D23" s="73"/>
      <c r="E23" s="29"/>
      <c r="F23" s="28"/>
      <c r="G23" s="34" t="s">
        <v>71</v>
      </c>
      <c r="H23" s="34">
        <f>1000</f>
        <v>1000</v>
      </c>
      <c r="I23" s="85">
        <v>0.11</v>
      </c>
      <c r="J23" s="101">
        <f t="shared" si="0"/>
        <v>110</v>
      </c>
      <c r="K23" s="103"/>
      <c r="L23" s="102"/>
      <c r="M23" s="103"/>
      <c r="N23" s="104"/>
    </row>
    <row r="24" ht="16.5" spans="1:15">
      <c r="A24" s="28">
        <v>45866</v>
      </c>
      <c r="B24" s="111" t="s">
        <v>39</v>
      </c>
      <c r="C24" s="111" t="s">
        <v>83</v>
      </c>
      <c r="D24" s="115" t="s">
        <v>84</v>
      </c>
      <c r="E24" s="111" t="s">
        <v>85</v>
      </c>
      <c r="F24" s="87" t="s">
        <v>86</v>
      </c>
      <c r="G24" s="95" t="s">
        <v>87</v>
      </c>
      <c r="H24" s="112">
        <v>19026</v>
      </c>
      <c r="I24" s="112">
        <v>0.24</v>
      </c>
      <c r="J24" s="101">
        <f t="shared" si="0"/>
        <v>4566.24</v>
      </c>
      <c r="K24" s="105"/>
      <c r="L24" s="106"/>
      <c r="M24" s="105"/>
      <c r="N24" s="104"/>
    </row>
    <row r="25" ht="16.5" spans="1:15">
      <c r="A25" s="28"/>
      <c r="B25" s="111"/>
      <c r="C25" s="111"/>
      <c r="D25" s="115"/>
      <c r="E25" s="111"/>
      <c r="F25" s="88"/>
      <c r="G25" s="95" t="s">
        <v>71</v>
      </c>
      <c r="H25" s="112">
        <v>19026</v>
      </c>
      <c r="I25" s="112">
        <v>0.11</v>
      </c>
      <c r="J25" s="101">
        <f t="shared" si="0"/>
        <v>2092.86</v>
      </c>
      <c r="L25" s="116"/>
      <c r="N25" s="104"/>
    </row>
    <row r="26" ht="16.5" spans="1:15">
      <c r="A26" s="28"/>
      <c r="B26" s="111"/>
      <c r="C26" s="111"/>
      <c r="D26" s="115"/>
      <c r="E26" s="111"/>
      <c r="F26" s="28" t="s">
        <v>88</v>
      </c>
      <c r="G26" s="95" t="s">
        <v>89</v>
      </c>
      <c r="H26" s="117">
        <v>19597</v>
      </c>
      <c r="I26" s="95">
        <v>1.07</v>
      </c>
      <c r="J26" s="101">
        <f t="shared" si="0"/>
        <v>20968.79</v>
      </c>
      <c r="K26" s="98"/>
      <c r="L26" s="99" t="s">
        <v>90</v>
      </c>
      <c r="M26" s="98">
        <f>6421.07+2100+640.86</f>
        <v>9161.93</v>
      </c>
      <c r="N26" s="104"/>
    </row>
    <row r="27" ht="16.5" spans="1:15">
      <c r="A27" s="28"/>
      <c r="B27" s="111"/>
      <c r="C27" s="111"/>
      <c r="D27" s="115"/>
      <c r="E27" s="111"/>
      <c r="F27" s="28"/>
      <c r="G27" s="95" t="s">
        <v>91</v>
      </c>
      <c r="H27" s="95">
        <v>190</v>
      </c>
      <c r="I27" s="95">
        <v>0</v>
      </c>
      <c r="J27" s="101">
        <f t="shared" si="0"/>
        <v>0</v>
      </c>
      <c r="K27" s="103"/>
      <c r="L27" s="102"/>
      <c r="M27" s="103"/>
      <c r="N27" s="104"/>
      <c r="O27">
        <f>6421.07+2100+640.86</f>
        <v>9161.93</v>
      </c>
    </row>
    <row r="28" ht="16.5" spans="1:15">
      <c r="A28" s="28"/>
      <c r="B28" s="111"/>
      <c r="C28" s="111"/>
      <c r="D28" s="115"/>
      <c r="E28" s="111"/>
      <c r="F28" s="28"/>
      <c r="G28" s="95" t="s">
        <v>92</v>
      </c>
      <c r="H28" s="95">
        <v>55</v>
      </c>
      <c r="I28" s="95">
        <v>0</v>
      </c>
      <c r="J28" s="101">
        <f t="shared" si="0"/>
        <v>0</v>
      </c>
      <c r="K28" s="103"/>
      <c r="L28" s="102"/>
      <c r="M28" s="103"/>
      <c r="N28" s="104"/>
    </row>
    <row r="29" ht="16.5" spans="1:15">
      <c r="A29" s="28"/>
      <c r="B29" s="111"/>
      <c r="C29" s="111"/>
      <c r="D29" s="115"/>
      <c r="E29" s="111"/>
      <c r="F29" s="28" t="s">
        <v>79</v>
      </c>
      <c r="G29" s="85" t="s">
        <v>70</v>
      </c>
      <c r="H29" s="85">
        <f>H25</f>
        <v>19026</v>
      </c>
      <c r="I29" s="85">
        <f>0.042*5</f>
        <v>0.21</v>
      </c>
      <c r="J29" s="101">
        <f t="shared" si="0"/>
        <v>3995.46</v>
      </c>
      <c r="K29" s="103"/>
      <c r="L29" s="102"/>
      <c r="M29" s="103"/>
      <c r="N29" s="104"/>
    </row>
    <row r="30" ht="16.5" spans="1:15">
      <c r="A30" s="28">
        <v>45867</v>
      </c>
      <c r="B30" s="111" t="s">
        <v>39</v>
      </c>
      <c r="C30" s="111" t="s">
        <v>93</v>
      </c>
      <c r="D30" s="115" t="s">
        <v>94</v>
      </c>
      <c r="E30" s="111" t="s">
        <v>95</v>
      </c>
      <c r="F30" s="87" t="s">
        <v>86</v>
      </c>
      <c r="G30" s="95" t="s">
        <v>68</v>
      </c>
      <c r="H30" s="85">
        <v>6490</v>
      </c>
      <c r="I30" s="85">
        <v>1.07</v>
      </c>
      <c r="J30" s="101">
        <f t="shared" si="0"/>
        <v>6944.3</v>
      </c>
      <c r="K30" s="105"/>
      <c r="L30" s="106"/>
      <c r="M30" s="105"/>
      <c r="N30" s="104"/>
    </row>
    <row r="31" ht="16.5" spans="1:15">
      <c r="A31" s="28"/>
      <c r="B31" s="111"/>
      <c r="C31" s="111"/>
      <c r="D31" s="115"/>
      <c r="E31" s="111"/>
      <c r="F31" s="88"/>
      <c r="G31" s="95" t="s">
        <v>69</v>
      </c>
      <c r="H31" s="85">
        <v>65</v>
      </c>
      <c r="I31" s="85">
        <v>0</v>
      </c>
      <c r="J31" s="101">
        <f t="shared" si="0"/>
        <v>0</v>
      </c>
      <c r="N31" s="104"/>
    </row>
    <row r="32" ht="16.5" spans="1:15">
      <c r="A32" s="28"/>
      <c r="B32" s="111"/>
      <c r="C32" s="111"/>
      <c r="D32" s="115"/>
      <c r="E32" s="111"/>
      <c r="F32" s="88"/>
      <c r="G32" s="85" t="s">
        <v>22</v>
      </c>
      <c r="H32" s="85">
        <v>6300</v>
      </c>
      <c r="I32" s="85">
        <v>0.11</v>
      </c>
      <c r="J32" s="101">
        <f t="shared" si="0"/>
        <v>693</v>
      </c>
      <c r="K32" s="107"/>
      <c r="L32" s="108" t="s">
        <v>96</v>
      </c>
      <c r="M32" s="98">
        <f>11021+2100+4124</f>
        <v>17245</v>
      </c>
      <c r="N32" s="104"/>
    </row>
    <row r="33" ht="16.5" spans="1:15">
      <c r="A33" s="28"/>
      <c r="B33" s="111"/>
      <c r="C33" s="111"/>
      <c r="D33" s="115"/>
      <c r="E33" s="111"/>
      <c r="F33" s="88"/>
      <c r="G33" s="85" t="s">
        <v>70</v>
      </c>
      <c r="H33" s="85">
        <f>6300</f>
        <v>6300</v>
      </c>
      <c r="I33" s="85">
        <f>0.042*5</f>
        <v>0.21</v>
      </c>
      <c r="J33" s="101">
        <f t="shared" si="0"/>
        <v>1323</v>
      </c>
      <c r="K33" s="110"/>
      <c r="L33" s="110"/>
      <c r="M33" s="103"/>
      <c r="N33" s="104"/>
    </row>
    <row r="34" ht="16.5" spans="1:15">
      <c r="A34" s="28"/>
      <c r="B34" s="111"/>
      <c r="C34" s="111"/>
      <c r="D34" s="115"/>
      <c r="E34" s="111"/>
      <c r="F34" s="88"/>
      <c r="G34" s="95" t="s">
        <v>87</v>
      </c>
      <c r="H34" s="85">
        <v>17000</v>
      </c>
      <c r="I34" s="85">
        <v>0.24</v>
      </c>
      <c r="J34" s="101">
        <f t="shared" si="0"/>
        <v>4080</v>
      </c>
      <c r="K34" s="110"/>
      <c r="L34" s="110"/>
      <c r="M34" s="103"/>
      <c r="N34" s="104"/>
      <c r="O34">
        <f>11021+2100+4124</f>
        <v>17245</v>
      </c>
    </row>
    <row r="35" ht="16.5" spans="1:15">
      <c r="A35" s="28"/>
      <c r="B35" s="111"/>
      <c r="C35" s="111"/>
      <c r="D35" s="115"/>
      <c r="E35" s="111"/>
      <c r="F35" s="88"/>
      <c r="G35" s="95" t="s">
        <v>78</v>
      </c>
      <c r="H35" s="85">
        <v>6489</v>
      </c>
      <c r="I35" s="85">
        <v>1.07</v>
      </c>
      <c r="J35" s="101">
        <f t="shared" si="0"/>
        <v>6943.23</v>
      </c>
      <c r="K35" s="110"/>
      <c r="L35" s="110"/>
      <c r="M35" s="103"/>
      <c r="N35" s="104"/>
    </row>
    <row r="36" ht="16.5" spans="1:15">
      <c r="A36" s="28"/>
      <c r="B36" s="111"/>
      <c r="C36" s="111"/>
      <c r="D36" s="115"/>
      <c r="E36" s="111"/>
      <c r="F36" s="88"/>
      <c r="G36" s="95" t="s">
        <v>69</v>
      </c>
      <c r="H36" s="85">
        <v>63</v>
      </c>
      <c r="I36" s="85">
        <v>0</v>
      </c>
      <c r="J36" s="101">
        <f t="shared" si="0"/>
        <v>0</v>
      </c>
      <c r="K36" s="113"/>
      <c r="L36" s="113"/>
      <c r="M36" s="105"/>
      <c r="N36" s="104"/>
    </row>
    <row r="37" ht="16.5" spans="1:15">
      <c r="A37" s="28"/>
      <c r="B37" s="111"/>
      <c r="C37" s="111"/>
      <c r="D37" s="115"/>
      <c r="E37" s="111"/>
      <c r="F37" s="88"/>
      <c r="G37" s="85" t="s">
        <v>22</v>
      </c>
      <c r="H37" s="85">
        <v>6300</v>
      </c>
      <c r="I37" s="85">
        <v>0.11</v>
      </c>
      <c r="J37" s="101">
        <f t="shared" si="0"/>
        <v>693</v>
      </c>
      <c r="K37" s="110"/>
      <c r="L37" s="118" t="s">
        <v>97</v>
      </c>
      <c r="M37" s="103">
        <f>7704</f>
        <v>7704</v>
      </c>
      <c r="N37" s="104"/>
    </row>
    <row r="38" ht="16.5" spans="1:15">
      <c r="A38" s="28"/>
      <c r="B38" s="111"/>
      <c r="C38" s="111"/>
      <c r="D38" s="115"/>
      <c r="E38" s="111"/>
      <c r="F38" s="119"/>
      <c r="G38" s="85" t="s">
        <v>70</v>
      </c>
      <c r="H38" s="85">
        <f>6300</f>
        <v>6300</v>
      </c>
      <c r="I38" s="85">
        <f>0.042*5</f>
        <v>0.21</v>
      </c>
      <c r="J38" s="101">
        <f t="shared" si="0"/>
        <v>1323</v>
      </c>
      <c r="K38" s="110"/>
      <c r="L38" s="110"/>
      <c r="M38" s="103"/>
      <c r="N38" s="104"/>
      <c r="O38">
        <v>7704</v>
      </c>
    </row>
    <row r="39" ht="16.5" spans="1:15">
      <c r="A39" s="28">
        <v>45849</v>
      </c>
      <c r="B39" s="28" t="s">
        <v>39</v>
      </c>
      <c r="C39" s="86"/>
      <c r="D39" s="83" t="s">
        <v>98</v>
      </c>
      <c r="E39" s="28" t="s">
        <v>99</v>
      </c>
      <c r="F39" s="87" t="s">
        <v>79</v>
      </c>
      <c r="G39" s="34" t="s">
        <v>78</v>
      </c>
      <c r="H39" s="34">
        <v>1062</v>
      </c>
      <c r="I39" s="112">
        <v>1.07</v>
      </c>
      <c r="J39" s="101">
        <f t="shared" si="0"/>
        <v>1136.34</v>
      </c>
      <c r="K39" s="110"/>
      <c r="L39" s="110"/>
      <c r="M39" s="103"/>
      <c r="N39" s="104"/>
    </row>
    <row r="40" ht="16.5" spans="1:15">
      <c r="A40" s="28"/>
      <c r="B40" s="28"/>
      <c r="C40" s="86"/>
      <c r="D40" s="83"/>
      <c r="E40" s="28"/>
      <c r="F40" s="88"/>
      <c r="G40" s="34" t="s">
        <v>69</v>
      </c>
      <c r="H40" s="34">
        <v>11</v>
      </c>
      <c r="I40" s="112">
        <v>0</v>
      </c>
      <c r="J40" s="101">
        <f t="shared" si="0"/>
        <v>0</v>
      </c>
      <c r="K40" s="113"/>
      <c r="L40" s="113"/>
      <c r="M40" s="105"/>
      <c r="N40" s="104"/>
    </row>
    <row r="41" ht="16.5" spans="1:15">
      <c r="A41" s="28">
        <v>45870</v>
      </c>
      <c r="B41" s="28" t="s">
        <v>39</v>
      </c>
      <c r="C41" s="111">
        <v>86578</v>
      </c>
      <c r="D41" s="83" t="s">
        <v>100</v>
      </c>
      <c r="E41" s="28" t="s">
        <v>101</v>
      </c>
      <c r="F41" s="87" t="s">
        <v>86</v>
      </c>
      <c r="G41" s="34" t="s">
        <v>68</v>
      </c>
      <c r="H41" s="34">
        <v>3264</v>
      </c>
      <c r="I41" s="112">
        <v>1.07</v>
      </c>
      <c r="J41" s="101">
        <f t="shared" si="0"/>
        <v>3492.48</v>
      </c>
      <c r="K41" s="25"/>
      <c r="L41" s="25"/>
      <c r="N41" s="104"/>
    </row>
    <row r="42" ht="16.5" spans="1:15">
      <c r="A42" s="28"/>
      <c r="B42" s="28"/>
      <c r="C42" s="86"/>
      <c r="D42" s="83"/>
      <c r="E42" s="28"/>
      <c r="F42" s="88"/>
      <c r="G42" s="34" t="s">
        <v>69</v>
      </c>
      <c r="H42" s="34">
        <v>33</v>
      </c>
      <c r="I42" s="112">
        <v>0</v>
      </c>
      <c r="J42" s="101">
        <f t="shared" si="0"/>
        <v>0</v>
      </c>
      <c r="N42" s="104"/>
    </row>
    <row r="43" ht="16.5" spans="1:15">
      <c r="A43" s="28"/>
      <c r="B43" s="28"/>
      <c r="C43" s="86"/>
      <c r="D43" s="83"/>
      <c r="E43" s="28"/>
      <c r="F43" s="88"/>
      <c r="G43" s="34" t="s">
        <v>102</v>
      </c>
      <c r="H43" s="34">
        <v>30</v>
      </c>
      <c r="I43" s="112">
        <v>0</v>
      </c>
      <c r="J43" s="101">
        <f t="shared" si="0"/>
        <v>0</v>
      </c>
      <c r="K43" s="107"/>
      <c r="L43" s="120" t="s">
        <v>103</v>
      </c>
      <c r="M43" s="98">
        <f>11315.24+3322.41+3004.39</f>
        <v>17642.04</v>
      </c>
      <c r="N43" s="104"/>
    </row>
    <row r="44" ht="16.5" spans="1:15">
      <c r="A44" s="28"/>
      <c r="B44" s="28"/>
      <c r="C44" s="86"/>
      <c r="D44" s="83"/>
      <c r="E44" s="28"/>
      <c r="F44" s="88"/>
      <c r="G44" s="34" t="s">
        <v>22</v>
      </c>
      <c r="H44" s="34">
        <v>3000</v>
      </c>
      <c r="I44" s="85">
        <v>0.11</v>
      </c>
      <c r="J44" s="101">
        <f t="shared" si="0"/>
        <v>330</v>
      </c>
      <c r="K44" s="110"/>
      <c r="L44" s="121"/>
      <c r="M44" s="103"/>
      <c r="N44" s="104"/>
    </row>
    <row r="45" ht="32" customHeight="1" spans="1:15">
      <c r="A45" s="28"/>
      <c r="B45" s="28"/>
      <c r="C45" s="86"/>
      <c r="D45" s="83"/>
      <c r="E45" s="28"/>
      <c r="F45" s="119"/>
      <c r="G45" s="34" t="s">
        <v>70</v>
      </c>
      <c r="H45" s="34">
        <v>3000</v>
      </c>
      <c r="I45" s="85">
        <f>0.042*5</f>
        <v>0.21</v>
      </c>
      <c r="J45" s="101">
        <f t="shared" si="0"/>
        <v>630</v>
      </c>
      <c r="K45" s="110"/>
      <c r="L45" s="121"/>
      <c r="M45" s="103"/>
      <c r="N45" s="104"/>
      <c r="O45">
        <f>11315.24+3322.41+3004.39</f>
        <v>17642.04</v>
      </c>
    </row>
    <row r="46" ht="30" customHeight="1" spans="1:15">
      <c r="A46" s="28">
        <v>45876</v>
      </c>
      <c r="B46" s="29" t="s">
        <v>39</v>
      </c>
      <c r="C46" s="29">
        <v>40061</v>
      </c>
      <c r="D46" s="73" t="s">
        <v>104</v>
      </c>
      <c r="E46" s="29" t="s">
        <v>105</v>
      </c>
      <c r="F46" s="28" t="s">
        <v>106</v>
      </c>
      <c r="G46" s="35" t="s">
        <v>89</v>
      </c>
      <c r="H46" s="35">
        <v>6180</v>
      </c>
      <c r="I46" s="95">
        <v>1.07</v>
      </c>
      <c r="J46" s="101">
        <f t="shared" si="0"/>
        <v>6612.6</v>
      </c>
      <c r="K46" s="113"/>
      <c r="L46" s="121"/>
      <c r="M46" s="105"/>
      <c r="N46" s="104"/>
    </row>
    <row r="47" ht="16.5" spans="1:15">
      <c r="A47" s="28"/>
      <c r="B47" s="29"/>
      <c r="C47" s="29"/>
      <c r="D47" s="73"/>
      <c r="E47" s="29"/>
      <c r="F47" s="28"/>
      <c r="G47" s="35" t="s">
        <v>91</v>
      </c>
      <c r="H47" s="35">
        <v>60</v>
      </c>
      <c r="I47" s="95">
        <v>0</v>
      </c>
      <c r="J47" s="101">
        <f t="shared" si="0"/>
        <v>0</v>
      </c>
      <c r="K47" s="122"/>
      <c r="L47" s="123" t="s">
        <v>107</v>
      </c>
      <c r="M47" s="103">
        <f>19617.38+3738+1958</f>
        <v>25313.38</v>
      </c>
      <c r="N47" s="104"/>
    </row>
    <row r="48" ht="16.5" spans="1:15">
      <c r="A48" s="28"/>
      <c r="B48" s="29"/>
      <c r="C48" s="29"/>
      <c r="D48" s="73"/>
      <c r="E48" s="29"/>
      <c r="F48" s="28"/>
      <c r="G48" s="35" t="s">
        <v>92</v>
      </c>
      <c r="H48" s="35">
        <v>30</v>
      </c>
      <c r="I48" s="95">
        <v>0</v>
      </c>
      <c r="J48" s="101">
        <f t="shared" si="0"/>
        <v>0</v>
      </c>
      <c r="K48" s="122"/>
      <c r="L48" s="124"/>
      <c r="M48" s="103"/>
      <c r="N48" s="104"/>
      <c r="O48">
        <f>19617.38+3738+1958</f>
        <v>25313.38</v>
      </c>
    </row>
    <row r="49" ht="16.5" spans="1:15">
      <c r="A49" s="28"/>
      <c r="B49" s="29"/>
      <c r="C49" s="29"/>
      <c r="D49" s="73"/>
      <c r="E49" s="29"/>
      <c r="F49" s="28"/>
      <c r="G49" s="34" t="s">
        <v>70</v>
      </c>
      <c r="H49" s="34">
        <v>6000</v>
      </c>
      <c r="I49" s="85">
        <f>0.042*5</f>
        <v>0.21</v>
      </c>
      <c r="J49" s="101">
        <f t="shared" si="0"/>
        <v>1260</v>
      </c>
      <c r="K49" s="122"/>
      <c r="L49" s="124"/>
      <c r="M49" s="103"/>
      <c r="N49" s="104"/>
    </row>
    <row r="50" ht="37" customHeight="1" spans="1:15">
      <c r="A50" s="28"/>
      <c r="B50" s="29"/>
      <c r="C50" s="29"/>
      <c r="D50" s="73"/>
      <c r="E50" s="29"/>
      <c r="F50" s="28"/>
      <c r="G50" s="35" t="s">
        <v>71</v>
      </c>
      <c r="H50" s="34">
        <v>6000</v>
      </c>
      <c r="I50" s="85">
        <v>0.11</v>
      </c>
      <c r="J50" s="101">
        <f t="shared" si="0"/>
        <v>660</v>
      </c>
      <c r="K50" s="125"/>
      <c r="L50" s="124"/>
      <c r="M50" s="105"/>
      <c r="N50" s="104"/>
    </row>
    <row r="51" ht="16.5" spans="1:15">
      <c r="A51" s="28">
        <v>45889</v>
      </c>
      <c r="B51" s="28" t="s">
        <v>39</v>
      </c>
      <c r="C51" s="111" t="s">
        <v>108</v>
      </c>
      <c r="D51" s="83" t="s">
        <v>109</v>
      </c>
      <c r="E51" s="28" t="s">
        <v>110</v>
      </c>
      <c r="F51" s="87" t="s">
        <v>111</v>
      </c>
      <c r="G51" s="34" t="s">
        <v>112</v>
      </c>
      <c r="H51" s="34">
        <v>1235</v>
      </c>
      <c r="I51" s="112">
        <v>1.07</v>
      </c>
      <c r="J51" s="101">
        <f t="shared" si="0"/>
        <v>1321.45</v>
      </c>
      <c r="K51" s="126"/>
      <c r="L51" s="127" t="s">
        <v>113</v>
      </c>
      <c r="M51" s="103">
        <f>3492.48+630</f>
        <v>4122.48</v>
      </c>
      <c r="N51" s="104"/>
    </row>
    <row r="52" ht="16.5" spans="1:15">
      <c r="A52" s="28"/>
      <c r="B52" s="28"/>
      <c r="C52" s="86"/>
      <c r="D52" s="83"/>
      <c r="E52" s="28"/>
      <c r="F52" s="88"/>
      <c r="G52" s="34" t="s">
        <v>91</v>
      </c>
      <c r="H52" s="34">
        <v>12</v>
      </c>
      <c r="I52" s="112">
        <v>0</v>
      </c>
      <c r="J52" s="101">
        <f t="shared" si="0"/>
        <v>0</v>
      </c>
      <c r="K52" s="128"/>
      <c r="L52" s="129"/>
      <c r="M52" s="103"/>
      <c r="N52" s="104"/>
    </row>
    <row r="53" ht="16.5" spans="1:15">
      <c r="A53" s="28"/>
      <c r="B53" s="28"/>
      <c r="C53" s="86"/>
      <c r="D53" s="83"/>
      <c r="E53" s="28"/>
      <c r="F53" s="119"/>
      <c r="G53" s="34" t="s">
        <v>92</v>
      </c>
      <c r="H53" s="34">
        <f>5*10+5</f>
        <v>55</v>
      </c>
      <c r="I53" s="112">
        <v>0</v>
      </c>
      <c r="J53" s="101">
        <f t="shared" si="0"/>
        <v>0</v>
      </c>
      <c r="K53" s="128"/>
      <c r="L53" s="129"/>
      <c r="M53" s="103"/>
      <c r="N53" s="104"/>
    </row>
    <row r="54" ht="16.5" spans="1:15">
      <c r="A54" s="28"/>
      <c r="B54" s="28"/>
      <c r="C54" s="86"/>
      <c r="D54" s="83"/>
      <c r="E54" s="28"/>
      <c r="F54" s="87" t="s">
        <v>114</v>
      </c>
      <c r="G54" s="34" t="s">
        <v>87</v>
      </c>
      <c r="H54" s="34">
        <f>1225+10</f>
        <v>1235</v>
      </c>
      <c r="I54" s="112">
        <v>0.24</v>
      </c>
      <c r="J54" s="101">
        <f t="shared" si="0"/>
        <v>296.4</v>
      </c>
      <c r="K54" s="128"/>
      <c r="L54" s="129"/>
      <c r="M54" s="103"/>
      <c r="N54" s="104"/>
    </row>
    <row r="55" ht="16.5" spans="1:15">
      <c r="A55" s="28"/>
      <c r="B55" s="28"/>
      <c r="C55" s="86"/>
      <c r="D55" s="83"/>
      <c r="E55" s="28"/>
      <c r="F55" s="88"/>
      <c r="G55" s="34" t="s">
        <v>22</v>
      </c>
      <c r="H55" s="34">
        <v>1235</v>
      </c>
      <c r="I55" s="85">
        <v>0.11</v>
      </c>
      <c r="J55" s="101">
        <f t="shared" si="0"/>
        <v>135.85</v>
      </c>
      <c r="K55" s="128"/>
      <c r="L55" s="129"/>
      <c r="M55" s="103"/>
      <c r="N55" s="104"/>
      <c r="O55">
        <f>3492.48+630</f>
        <v>4122.48</v>
      </c>
    </row>
    <row r="56" ht="16.5" spans="1:15">
      <c r="A56" s="28"/>
      <c r="B56" s="28"/>
      <c r="C56" s="86"/>
      <c r="D56" s="83"/>
      <c r="E56" s="28"/>
      <c r="F56" s="28" t="s">
        <v>115</v>
      </c>
      <c r="G56" s="34" t="s">
        <v>70</v>
      </c>
      <c r="H56" s="34">
        <f>1235</f>
        <v>1235</v>
      </c>
      <c r="I56" s="85">
        <f>0.042*5</f>
        <v>0.21</v>
      </c>
      <c r="J56" s="101">
        <f t="shared" si="0"/>
        <v>259.35</v>
      </c>
      <c r="K56" s="128"/>
      <c r="L56" s="129"/>
      <c r="M56" s="103"/>
      <c r="N56" s="104"/>
    </row>
    <row r="57" ht="16.5" spans="1:15">
      <c r="A57" s="28">
        <v>45919</v>
      </c>
      <c r="B57" s="29" t="s">
        <v>39</v>
      </c>
      <c r="C57" s="65" t="s">
        <v>116</v>
      </c>
      <c r="D57" s="73" t="s">
        <v>117</v>
      </c>
      <c r="E57" s="29" t="s">
        <v>118</v>
      </c>
      <c r="F57" s="92" t="s">
        <v>119</v>
      </c>
      <c r="G57" s="35" t="s">
        <v>112</v>
      </c>
      <c r="H57" s="35">
        <f>5000+2000+20</f>
        <v>7020</v>
      </c>
      <c r="I57" s="34">
        <v>1.07</v>
      </c>
      <c r="J57" s="101">
        <f t="shared" si="0"/>
        <v>7511.4</v>
      </c>
      <c r="K57" s="128"/>
      <c r="L57" s="129"/>
      <c r="M57" s="105"/>
      <c r="N57" s="104"/>
    </row>
    <row r="58" ht="16.5" spans="1:15">
      <c r="A58" s="28"/>
      <c r="B58" s="29"/>
      <c r="C58" s="29"/>
      <c r="D58" s="73"/>
      <c r="E58" s="29"/>
      <c r="F58" s="94"/>
      <c r="G58" s="35" t="s">
        <v>91</v>
      </c>
      <c r="H58" s="35">
        <v>70</v>
      </c>
      <c r="I58" s="34">
        <v>0</v>
      </c>
      <c r="J58" s="101">
        <f t="shared" si="0"/>
        <v>0</v>
      </c>
      <c r="N58" s="104"/>
    </row>
    <row r="59" ht="33" customHeight="1" spans="1:15">
      <c r="A59" s="28"/>
      <c r="B59" s="29"/>
      <c r="C59" s="29"/>
      <c r="D59" s="73"/>
      <c r="E59" s="29"/>
      <c r="F59" s="130"/>
      <c r="G59" s="35" t="s">
        <v>92</v>
      </c>
      <c r="H59" s="35">
        <f>5*5*2+5</f>
        <v>55</v>
      </c>
      <c r="I59" s="34">
        <v>0</v>
      </c>
      <c r="J59" s="101">
        <f t="shared" si="0"/>
        <v>0</v>
      </c>
      <c r="K59" s="107"/>
      <c r="L59" s="108" t="s">
        <v>120</v>
      </c>
      <c r="M59" s="98">
        <f>20968.79+3992.73</f>
        <v>24961.52</v>
      </c>
      <c r="N59" s="104"/>
      <c r="O59">
        <f>20968.79+3992.73</f>
        <v>24961.52</v>
      </c>
    </row>
    <row r="60" ht="31" customHeight="1" spans="1:15">
      <c r="A60" s="28"/>
      <c r="B60" s="29"/>
      <c r="C60" s="29"/>
      <c r="D60" s="73"/>
      <c r="E60" s="29"/>
      <c r="F60" s="89" t="s">
        <v>121</v>
      </c>
      <c r="G60" s="34" t="s">
        <v>122</v>
      </c>
      <c r="H60" s="35">
        <f>7020</f>
        <v>7020</v>
      </c>
      <c r="I60" s="34">
        <f>0.042*4</f>
        <v>0.168</v>
      </c>
      <c r="J60" s="101">
        <f t="shared" si="0"/>
        <v>1179.36</v>
      </c>
      <c r="K60" s="110"/>
      <c r="L60" s="110"/>
      <c r="M60" s="103"/>
      <c r="N60" s="104"/>
    </row>
    <row r="61" ht="27" customHeight="1" spans="1:15">
      <c r="A61" s="28"/>
      <c r="B61" s="29"/>
      <c r="C61" s="29"/>
      <c r="D61" s="73"/>
      <c r="E61" s="29"/>
      <c r="F61" s="92" t="s">
        <v>123</v>
      </c>
      <c r="G61" s="35" t="s">
        <v>87</v>
      </c>
      <c r="H61" s="35">
        <v>7020</v>
      </c>
      <c r="I61" s="35">
        <v>0.24</v>
      </c>
      <c r="J61" s="101">
        <f t="shared" si="0"/>
        <v>1684.8</v>
      </c>
      <c r="K61" s="113"/>
      <c r="L61" s="110"/>
      <c r="M61" s="105"/>
      <c r="N61" s="104"/>
    </row>
    <row r="62" ht="16.5" spans="1:15">
      <c r="A62" s="28"/>
      <c r="B62" s="29"/>
      <c r="C62" s="29"/>
      <c r="D62" s="73"/>
      <c r="E62" s="29"/>
      <c r="F62" s="94"/>
      <c r="G62" s="34" t="s">
        <v>22</v>
      </c>
      <c r="H62" s="35">
        <v>7020</v>
      </c>
      <c r="I62" s="34">
        <v>0.11</v>
      </c>
      <c r="J62" s="101">
        <f t="shared" si="0"/>
        <v>772.2</v>
      </c>
      <c r="K62" s="110"/>
      <c r="L62" s="108" t="s">
        <v>124</v>
      </c>
      <c r="M62" s="103">
        <f>6659.1</f>
        <v>6659.1</v>
      </c>
      <c r="N62" s="104"/>
    </row>
    <row r="63" ht="26" customHeight="1" spans="1:15">
      <c r="A63" s="28">
        <v>45919</v>
      </c>
      <c r="B63" s="29" t="s">
        <v>39</v>
      </c>
      <c r="C63" s="65" t="s">
        <v>125</v>
      </c>
      <c r="D63" s="73" t="s">
        <v>126</v>
      </c>
      <c r="E63" s="29" t="s">
        <v>127</v>
      </c>
      <c r="F63" s="92" t="s">
        <v>128</v>
      </c>
      <c r="G63" s="35" t="s">
        <v>129</v>
      </c>
      <c r="H63" s="35">
        <f>5000+2000</f>
        <v>7000</v>
      </c>
      <c r="I63" s="35">
        <v>0.85</v>
      </c>
      <c r="J63" s="101">
        <f t="shared" si="0"/>
        <v>5950</v>
      </c>
      <c r="K63" s="110"/>
      <c r="L63" s="110"/>
      <c r="M63" s="103"/>
      <c r="N63" s="104"/>
      <c r="O63">
        <v>6659.1</v>
      </c>
    </row>
    <row r="64" ht="28" customHeight="1" spans="1:15">
      <c r="A64" s="28"/>
      <c r="B64" s="29"/>
      <c r="C64" s="29"/>
      <c r="D64" s="73"/>
      <c r="E64" s="29"/>
      <c r="F64" s="94"/>
      <c r="G64" s="35" t="s">
        <v>130</v>
      </c>
      <c r="H64" s="35">
        <f>7000*0.01</f>
        <v>70</v>
      </c>
      <c r="I64" s="35">
        <v>0</v>
      </c>
      <c r="J64" s="101">
        <f t="shared" si="0"/>
        <v>0</v>
      </c>
      <c r="K64" s="110"/>
      <c r="L64" s="110"/>
      <c r="M64" s="105"/>
      <c r="N64" s="104"/>
    </row>
    <row r="65" ht="16.5" spans="1:15">
      <c r="A65" s="28"/>
      <c r="B65" s="29"/>
      <c r="C65" s="29"/>
      <c r="D65" s="73"/>
      <c r="E65" s="29"/>
      <c r="F65" s="94"/>
      <c r="G65" s="35" t="s">
        <v>131</v>
      </c>
      <c r="H65" s="35">
        <f>5*5*2+5</f>
        <v>55</v>
      </c>
      <c r="I65" s="35">
        <v>0</v>
      </c>
      <c r="J65" s="101">
        <f t="shared" si="0"/>
        <v>0</v>
      </c>
      <c r="K65" s="107"/>
      <c r="L65" s="99" t="s">
        <v>132</v>
      </c>
      <c r="M65" s="103">
        <f>13888.6+2646+5796</f>
        <v>22330.6</v>
      </c>
      <c r="N65" s="104"/>
    </row>
    <row r="66" ht="16.5" spans="1:15">
      <c r="A66" s="28"/>
      <c r="B66" s="29"/>
      <c r="C66" s="29"/>
      <c r="D66" s="73"/>
      <c r="E66" s="29"/>
      <c r="F66" s="94"/>
      <c r="G66" s="35" t="s">
        <v>133</v>
      </c>
      <c r="H66" s="35">
        <v>7000</v>
      </c>
      <c r="I66" s="35">
        <v>0.15</v>
      </c>
      <c r="J66" s="101">
        <f t="shared" si="0"/>
        <v>1050</v>
      </c>
      <c r="K66" s="110"/>
      <c r="L66" s="102"/>
      <c r="M66" s="103"/>
      <c r="N66" s="104"/>
    </row>
    <row r="67" ht="16.5" spans="1:15">
      <c r="A67" s="28"/>
      <c r="B67" s="29"/>
      <c r="C67" s="29"/>
      <c r="D67" s="73"/>
      <c r="E67" s="29"/>
      <c r="F67" s="89" t="s">
        <v>121</v>
      </c>
      <c r="G67" s="34" t="s">
        <v>122</v>
      </c>
      <c r="H67" s="35">
        <f>7000</f>
        <v>7000</v>
      </c>
      <c r="I67" s="34">
        <f>0.042*4</f>
        <v>0.168</v>
      </c>
      <c r="J67" s="101">
        <f t="shared" ref="J67:J100" si="1">H67*I67</f>
        <v>1176</v>
      </c>
      <c r="K67" s="110"/>
      <c r="L67" s="102"/>
      <c r="M67" s="103"/>
      <c r="N67" s="104"/>
    </row>
    <row r="68" ht="16.5" spans="1:15">
      <c r="A68" s="28"/>
      <c r="B68" s="29"/>
      <c r="C68" s="29"/>
      <c r="D68" s="73"/>
      <c r="E68" s="29"/>
      <c r="F68" s="94" t="s">
        <v>134</v>
      </c>
      <c r="G68" s="35" t="s">
        <v>87</v>
      </c>
      <c r="H68" s="35">
        <v>7000</v>
      </c>
      <c r="I68" s="35">
        <v>0.24</v>
      </c>
      <c r="J68" s="101">
        <f t="shared" si="1"/>
        <v>1680</v>
      </c>
      <c r="K68" s="110"/>
      <c r="L68" s="102"/>
      <c r="M68" s="103"/>
      <c r="N68" s="104"/>
      <c r="O68">
        <f>13888.6+2646+5796</f>
        <v>22330.6</v>
      </c>
    </row>
    <row r="69" ht="16.5" spans="1:15">
      <c r="A69" s="28"/>
      <c r="B69" s="29"/>
      <c r="C69" s="29"/>
      <c r="D69" s="73"/>
      <c r="E69" s="29"/>
      <c r="F69" s="94"/>
      <c r="G69" s="35" t="s">
        <v>135</v>
      </c>
      <c r="H69" s="35">
        <v>7000</v>
      </c>
      <c r="I69" s="35">
        <v>0.22</v>
      </c>
      <c r="J69" s="101">
        <f t="shared" si="1"/>
        <v>1540</v>
      </c>
      <c r="K69" s="110"/>
      <c r="L69" s="102"/>
      <c r="M69" s="103"/>
      <c r="N69" s="104"/>
    </row>
    <row r="70" ht="16.5" spans="1:15">
      <c r="A70" s="28"/>
      <c r="B70" s="29"/>
      <c r="C70" s="29"/>
      <c r="D70" s="73"/>
      <c r="E70" s="29"/>
      <c r="F70" s="94"/>
      <c r="G70" s="34" t="s">
        <v>22</v>
      </c>
      <c r="H70" s="35">
        <v>7000</v>
      </c>
      <c r="I70" s="34">
        <v>0.11</v>
      </c>
      <c r="J70" s="101">
        <f t="shared" si="1"/>
        <v>770</v>
      </c>
      <c r="K70" s="110"/>
      <c r="L70" s="102"/>
      <c r="M70" s="103"/>
      <c r="N70" s="104"/>
    </row>
    <row r="71" ht="16.5" spans="1:15">
      <c r="A71" s="28">
        <v>45937</v>
      </c>
      <c r="B71" s="29" t="s">
        <v>39</v>
      </c>
      <c r="C71" s="65" t="s">
        <v>136</v>
      </c>
      <c r="D71" s="73" t="s">
        <v>137</v>
      </c>
      <c r="E71" s="29" t="s">
        <v>138</v>
      </c>
      <c r="F71" s="89" t="s">
        <v>139</v>
      </c>
      <c r="G71" s="35" t="s">
        <v>140</v>
      </c>
      <c r="H71" s="35">
        <v>25771</v>
      </c>
      <c r="I71" s="34">
        <v>1.07</v>
      </c>
      <c r="J71" s="101">
        <f t="shared" si="1"/>
        <v>27574.97</v>
      </c>
      <c r="K71" s="110"/>
      <c r="L71" s="102"/>
      <c r="M71" s="103"/>
      <c r="N71" s="104"/>
    </row>
    <row r="72" ht="16.5" spans="1:15">
      <c r="A72" s="28"/>
      <c r="B72" s="29"/>
      <c r="C72" s="29"/>
      <c r="D72" s="73"/>
      <c r="E72" s="29"/>
      <c r="F72" s="89"/>
      <c r="G72" s="35" t="s">
        <v>91</v>
      </c>
      <c r="H72" s="35">
        <v>200</v>
      </c>
      <c r="I72" s="34">
        <v>0</v>
      </c>
      <c r="J72" s="101">
        <f t="shared" si="1"/>
        <v>0</v>
      </c>
      <c r="K72" s="110"/>
      <c r="L72" s="102"/>
      <c r="M72" s="103"/>
      <c r="N72" s="104"/>
    </row>
    <row r="73" ht="16.5" spans="1:15">
      <c r="A73" s="28"/>
      <c r="B73" s="29"/>
      <c r="C73" s="29"/>
      <c r="D73" s="73"/>
      <c r="E73" s="29"/>
      <c r="F73" s="89"/>
      <c r="G73" s="35" t="s">
        <v>92</v>
      </c>
      <c r="H73" s="35">
        <f>5*5*2+10</f>
        <v>60</v>
      </c>
      <c r="I73" s="34">
        <v>0</v>
      </c>
      <c r="J73" s="101">
        <f t="shared" si="1"/>
        <v>0</v>
      </c>
      <c r="K73" s="110"/>
      <c r="L73" s="102"/>
      <c r="M73" s="105"/>
      <c r="N73" s="104"/>
    </row>
    <row r="74" ht="16.5" spans="1:15">
      <c r="A74" s="28"/>
      <c r="B74" s="29"/>
      <c r="C74" s="29"/>
      <c r="D74" s="73"/>
      <c r="E74" s="29"/>
      <c r="F74" s="89"/>
      <c r="G74" s="34" t="s">
        <v>122</v>
      </c>
      <c r="H74" s="35">
        <f>25020</f>
        <v>25020</v>
      </c>
      <c r="I74" s="34">
        <f>0.042*4</f>
        <v>0.168</v>
      </c>
      <c r="J74" s="101">
        <f t="shared" si="1"/>
        <v>4203.36</v>
      </c>
      <c r="K74" s="107"/>
      <c r="L74" s="108" t="s">
        <v>141</v>
      </c>
      <c r="M74" s="103">
        <f>1136.34+630+116.82</f>
        <v>1883.16</v>
      </c>
      <c r="N74" s="104"/>
    </row>
    <row r="75" ht="16.5" spans="1:15">
      <c r="A75" s="28"/>
      <c r="B75" s="29"/>
      <c r="C75" s="29"/>
      <c r="D75" s="73"/>
      <c r="E75" s="29"/>
      <c r="F75" s="89"/>
      <c r="G75" s="35" t="s">
        <v>87</v>
      </c>
      <c r="H75" s="35">
        <v>25020</v>
      </c>
      <c r="I75" s="35">
        <v>0.24</v>
      </c>
      <c r="J75" s="101">
        <f t="shared" si="1"/>
        <v>6004.8</v>
      </c>
      <c r="K75" s="110"/>
      <c r="L75" s="110"/>
      <c r="M75" s="103"/>
      <c r="N75" s="104"/>
    </row>
    <row r="76" ht="16.5" spans="1:15">
      <c r="A76" s="28"/>
      <c r="B76" s="29"/>
      <c r="C76" s="29"/>
      <c r="D76" s="73"/>
      <c r="E76" s="29"/>
      <c r="F76" s="89"/>
      <c r="G76" s="34" t="s">
        <v>22</v>
      </c>
      <c r="H76" s="35">
        <v>25020</v>
      </c>
      <c r="I76" s="34">
        <v>0.11</v>
      </c>
      <c r="J76" s="101">
        <f t="shared" si="1"/>
        <v>2752.2</v>
      </c>
      <c r="K76" s="110"/>
      <c r="L76" s="110"/>
      <c r="M76" s="103"/>
      <c r="N76" s="104"/>
      <c r="O76">
        <f>1136.34+630+116.82</f>
        <v>1883.16</v>
      </c>
    </row>
    <row r="77" ht="16.5" spans="1:15">
      <c r="A77" s="28">
        <v>45944</v>
      </c>
      <c r="B77" s="29" t="s">
        <v>39</v>
      </c>
      <c r="C77" s="65" t="s">
        <v>125</v>
      </c>
      <c r="D77" s="73" t="s">
        <v>142</v>
      </c>
      <c r="E77" s="29" t="s">
        <v>143</v>
      </c>
      <c r="F77" s="89" t="s">
        <v>144</v>
      </c>
      <c r="G77" s="35" t="s">
        <v>129</v>
      </c>
      <c r="H77" s="35">
        <v>210</v>
      </c>
      <c r="I77" s="35">
        <v>0.85</v>
      </c>
      <c r="J77" s="101">
        <f t="shared" si="1"/>
        <v>178.5</v>
      </c>
      <c r="K77" s="110"/>
      <c r="L77" s="110"/>
      <c r="M77" s="103"/>
      <c r="N77" s="104"/>
    </row>
    <row r="78" ht="16.5" spans="1:15">
      <c r="A78" s="28"/>
      <c r="B78" s="29"/>
      <c r="C78" s="29"/>
      <c r="D78" s="73"/>
      <c r="E78" s="29"/>
      <c r="F78" s="89"/>
      <c r="G78" s="35" t="s">
        <v>130</v>
      </c>
      <c r="H78" s="35">
        <v>2</v>
      </c>
      <c r="I78" s="35">
        <v>0</v>
      </c>
      <c r="J78" s="101">
        <f t="shared" si="1"/>
        <v>0</v>
      </c>
      <c r="K78" s="110"/>
      <c r="L78" s="110"/>
      <c r="M78" s="103"/>
      <c r="N78" s="104"/>
    </row>
    <row r="79" ht="16.5" spans="1:15">
      <c r="A79" s="28"/>
      <c r="B79" s="29"/>
      <c r="C79" s="29"/>
      <c r="D79" s="73"/>
      <c r="E79" s="29"/>
      <c r="F79" s="89"/>
      <c r="G79" s="35" t="s">
        <v>133</v>
      </c>
      <c r="H79" s="35">
        <v>153</v>
      </c>
      <c r="I79" s="35">
        <v>0.15</v>
      </c>
      <c r="J79" s="101">
        <f t="shared" si="1"/>
        <v>22.95</v>
      </c>
      <c r="K79" s="110"/>
      <c r="L79" s="113"/>
      <c r="M79" s="105"/>
      <c r="N79" s="104"/>
    </row>
    <row r="80" ht="16.5" spans="1:15">
      <c r="A80" s="28"/>
      <c r="B80" s="29"/>
      <c r="C80" s="29"/>
      <c r="D80" s="73"/>
      <c r="E80" s="29"/>
      <c r="F80" s="89"/>
      <c r="G80" s="34" t="s">
        <v>122</v>
      </c>
      <c r="H80" s="35">
        <f>153</f>
        <v>153</v>
      </c>
      <c r="I80" s="34">
        <f>0.042*4</f>
        <v>0.168</v>
      </c>
      <c r="J80" s="101">
        <f t="shared" si="1"/>
        <v>25.704</v>
      </c>
      <c r="K80" s="113"/>
      <c r="N80" s="104"/>
    </row>
    <row r="81" ht="16.5" spans="1:15">
      <c r="A81" s="28"/>
      <c r="B81" s="29"/>
      <c r="C81" s="29"/>
      <c r="D81" s="73"/>
      <c r="E81" s="29"/>
      <c r="F81" s="89"/>
      <c r="G81" s="35" t="s">
        <v>87</v>
      </c>
      <c r="H81" s="35">
        <v>153</v>
      </c>
      <c r="I81" s="35">
        <v>0.24</v>
      </c>
      <c r="J81" s="101">
        <f t="shared" si="1"/>
        <v>36.72</v>
      </c>
      <c r="K81" s="110"/>
      <c r="L81" s="108" t="s">
        <v>145</v>
      </c>
      <c r="M81" s="98">
        <f>6612.6+660+1260</f>
        <v>8532.6</v>
      </c>
      <c r="N81" s="104"/>
    </row>
    <row r="82" ht="16.5" spans="1:15">
      <c r="A82" s="28"/>
      <c r="B82" s="29"/>
      <c r="C82" s="29"/>
      <c r="D82" s="73"/>
      <c r="E82" s="29"/>
      <c r="F82" s="89"/>
      <c r="G82" s="35" t="s">
        <v>135</v>
      </c>
      <c r="H82" s="35">
        <v>153</v>
      </c>
      <c r="I82" s="35">
        <v>0.22</v>
      </c>
      <c r="J82" s="101">
        <f t="shared" si="1"/>
        <v>33.66</v>
      </c>
      <c r="K82" s="110"/>
      <c r="L82" s="110"/>
      <c r="M82" s="103"/>
      <c r="N82" s="104"/>
      <c r="O82">
        <f>6612.6+660+1260</f>
        <v>8532.6</v>
      </c>
    </row>
    <row r="83" ht="16.5" spans="1:15">
      <c r="A83" s="28">
        <v>45944</v>
      </c>
      <c r="B83" s="29" t="s">
        <v>39</v>
      </c>
      <c r="C83" s="65" t="s">
        <v>116</v>
      </c>
      <c r="D83" s="73" t="s">
        <v>146</v>
      </c>
      <c r="E83" s="29" t="s">
        <v>147</v>
      </c>
      <c r="F83" s="89" t="s">
        <v>144</v>
      </c>
      <c r="G83" s="35" t="s">
        <v>148</v>
      </c>
      <c r="H83" s="35">
        <v>211</v>
      </c>
      <c r="I83" s="34">
        <v>1.07</v>
      </c>
      <c r="J83" s="101">
        <f t="shared" si="1"/>
        <v>225.77</v>
      </c>
      <c r="K83" s="110"/>
      <c r="L83" s="110"/>
      <c r="M83" s="103"/>
      <c r="N83" s="104"/>
    </row>
    <row r="84" ht="16.5" spans="1:15">
      <c r="A84" s="28"/>
      <c r="B84" s="29"/>
      <c r="C84" s="29"/>
      <c r="D84" s="73"/>
      <c r="E84" s="29"/>
      <c r="F84" s="89"/>
      <c r="G84" s="35" t="s">
        <v>91</v>
      </c>
      <c r="H84" s="35">
        <v>2</v>
      </c>
      <c r="I84" s="34">
        <v>0</v>
      </c>
      <c r="J84" s="101">
        <f t="shared" si="1"/>
        <v>0</v>
      </c>
      <c r="K84" s="110"/>
      <c r="L84" s="110"/>
      <c r="M84" s="103"/>
      <c r="N84" s="104"/>
    </row>
    <row r="85" ht="16.5" spans="1:15">
      <c r="A85" s="89">
        <v>45952</v>
      </c>
      <c r="B85" s="65" t="s">
        <v>39</v>
      </c>
      <c r="C85" s="65">
        <v>40381</v>
      </c>
      <c r="D85" s="66" t="s">
        <v>149</v>
      </c>
      <c r="E85" s="65" t="s">
        <v>150</v>
      </c>
      <c r="F85" s="89" t="s">
        <v>151</v>
      </c>
      <c r="G85" s="35" t="s">
        <v>133</v>
      </c>
      <c r="H85" s="35">
        <v>473</v>
      </c>
      <c r="I85" s="35">
        <v>0.15</v>
      </c>
      <c r="J85" s="101">
        <f t="shared" si="1"/>
        <v>70.95</v>
      </c>
      <c r="K85" s="113"/>
      <c r="L85" s="113"/>
      <c r="M85" s="105"/>
      <c r="N85" s="131"/>
    </row>
    <row r="86" ht="16.5" spans="1:15">
      <c r="A86" s="89"/>
      <c r="B86" s="65"/>
      <c r="C86" s="65"/>
      <c r="D86" s="66"/>
      <c r="E86" s="65"/>
      <c r="F86" s="89"/>
      <c r="G86" s="35" t="s">
        <v>152</v>
      </c>
      <c r="H86" s="35">
        <v>473</v>
      </c>
      <c r="I86" s="35">
        <v>0.042</v>
      </c>
      <c r="J86" s="101">
        <f t="shared" si="1"/>
        <v>19.866</v>
      </c>
    </row>
    <row r="87" ht="16.5" spans="1:15">
      <c r="A87" s="89"/>
      <c r="B87" s="65"/>
      <c r="C87" s="65"/>
      <c r="D87" s="66"/>
      <c r="E87" s="65"/>
      <c r="F87" s="89" t="s">
        <v>153</v>
      </c>
      <c r="G87" s="35" t="s">
        <v>87</v>
      </c>
      <c r="H87" s="35">
        <v>473</v>
      </c>
      <c r="I87" s="35">
        <v>0.24</v>
      </c>
      <c r="J87" s="101">
        <f t="shared" si="1"/>
        <v>113.52</v>
      </c>
    </row>
    <row r="88" ht="16.5" spans="1:15">
      <c r="A88" s="89"/>
      <c r="B88" s="65"/>
      <c r="C88" s="65"/>
      <c r="D88" s="66"/>
      <c r="E88" s="65"/>
      <c r="F88" s="89"/>
      <c r="G88" s="35" t="s">
        <v>135</v>
      </c>
      <c r="H88" s="35">
        <v>473</v>
      </c>
      <c r="I88" s="35">
        <v>0.22</v>
      </c>
      <c r="J88" s="101">
        <f t="shared" si="1"/>
        <v>104.06</v>
      </c>
    </row>
    <row r="89" ht="16.5" spans="1:15">
      <c r="A89" s="28">
        <v>45952</v>
      </c>
      <c r="B89" s="29" t="s">
        <v>39</v>
      </c>
      <c r="C89" s="65" t="s">
        <v>154</v>
      </c>
      <c r="D89" s="73" t="s">
        <v>155</v>
      </c>
      <c r="E89" s="29" t="s">
        <v>156</v>
      </c>
      <c r="F89" s="89" t="s">
        <v>157</v>
      </c>
      <c r="G89" s="35" t="s">
        <v>158</v>
      </c>
      <c r="H89" s="35">
        <f>21000*1.03</f>
        <v>21630</v>
      </c>
      <c r="I89" s="35">
        <v>0.85</v>
      </c>
      <c r="J89" s="101">
        <f t="shared" si="1"/>
        <v>18385.5</v>
      </c>
    </row>
    <row r="90" ht="16.5" spans="1:15">
      <c r="A90" s="28"/>
      <c r="B90" s="29"/>
      <c r="C90" s="29"/>
      <c r="D90" s="73"/>
      <c r="E90" s="29"/>
      <c r="F90" s="89"/>
      <c r="G90" s="35" t="s">
        <v>130</v>
      </c>
      <c r="H90" s="35">
        <f>21000*0.01</f>
        <v>210</v>
      </c>
      <c r="I90" s="35">
        <v>0</v>
      </c>
      <c r="J90" s="101">
        <f t="shared" si="1"/>
        <v>0</v>
      </c>
    </row>
    <row r="91" ht="16.5" spans="1:15">
      <c r="A91" s="28"/>
      <c r="B91" s="29"/>
      <c r="C91" s="29"/>
      <c r="D91" s="73"/>
      <c r="E91" s="29"/>
      <c r="F91" s="89"/>
      <c r="G91" s="35" t="s">
        <v>133</v>
      </c>
      <c r="H91" s="35">
        <v>20374</v>
      </c>
      <c r="I91" s="35">
        <v>0.15</v>
      </c>
      <c r="J91" s="101">
        <f t="shared" si="1"/>
        <v>3056.1</v>
      </c>
    </row>
    <row r="92" ht="16.5" spans="1:15">
      <c r="A92" s="28"/>
      <c r="B92" s="29"/>
      <c r="C92" s="29"/>
      <c r="D92" s="73"/>
      <c r="E92" s="29"/>
      <c r="F92" s="89" t="s">
        <v>153</v>
      </c>
      <c r="G92" s="34" t="s">
        <v>122</v>
      </c>
      <c r="H92" s="35">
        <f>21000</f>
        <v>21000</v>
      </c>
      <c r="I92" s="34">
        <f>0.042*4</f>
        <v>0.168</v>
      </c>
      <c r="J92" s="132">
        <f t="shared" si="1"/>
        <v>3528</v>
      </c>
    </row>
    <row r="93" ht="16.5" spans="1:15">
      <c r="A93" s="28"/>
      <c r="B93" s="29"/>
      <c r="C93" s="29"/>
      <c r="D93" s="73"/>
      <c r="E93" s="29"/>
      <c r="F93" s="89" t="s">
        <v>159</v>
      </c>
      <c r="G93" s="35" t="s">
        <v>133</v>
      </c>
      <c r="H93" s="35">
        <v>3046</v>
      </c>
      <c r="I93" s="35">
        <v>0.15</v>
      </c>
      <c r="J93" s="101">
        <f t="shared" si="1"/>
        <v>456.9</v>
      </c>
    </row>
    <row r="94" ht="16.5" spans="1:15">
      <c r="A94" s="28"/>
      <c r="B94" s="29"/>
      <c r="C94" s="29"/>
      <c r="D94" s="73"/>
      <c r="E94" s="29"/>
      <c r="F94" s="89"/>
      <c r="G94" s="35" t="s">
        <v>129</v>
      </c>
      <c r="H94" s="35">
        <v>4445</v>
      </c>
      <c r="I94" s="35">
        <v>0.85</v>
      </c>
      <c r="J94" s="35">
        <f t="shared" si="1"/>
        <v>3778.25</v>
      </c>
    </row>
    <row r="95" ht="16.5" spans="1:15">
      <c r="A95" s="28"/>
      <c r="B95" s="29"/>
      <c r="C95" s="29"/>
      <c r="D95" s="73"/>
      <c r="E95" s="29"/>
      <c r="F95" s="89"/>
      <c r="G95" s="35" t="s">
        <v>130</v>
      </c>
      <c r="H95" s="35">
        <v>45</v>
      </c>
      <c r="I95" s="35">
        <v>0</v>
      </c>
      <c r="J95" s="35">
        <f t="shared" si="1"/>
        <v>0</v>
      </c>
    </row>
    <row r="96" ht="16.5" spans="1:15">
      <c r="A96" s="28"/>
      <c r="B96" s="29"/>
      <c r="C96" s="29"/>
      <c r="D96" s="73"/>
      <c r="E96" s="29"/>
      <c r="F96" s="89"/>
      <c r="G96" s="34" t="s">
        <v>122</v>
      </c>
      <c r="H96" s="35">
        <f>2464</f>
        <v>2464</v>
      </c>
      <c r="I96" s="34">
        <f>0.042*4</f>
        <v>0.168</v>
      </c>
      <c r="J96" s="132">
        <f t="shared" si="1"/>
        <v>413.952</v>
      </c>
    </row>
    <row r="97" ht="16.5" spans="1:15">
      <c r="A97" s="28"/>
      <c r="B97" s="29"/>
      <c r="C97" s="29"/>
      <c r="D97" s="73"/>
      <c r="E97" s="29"/>
      <c r="F97" s="62" t="s">
        <v>160</v>
      </c>
      <c r="G97" s="35" t="s">
        <v>87</v>
      </c>
      <c r="H97" s="35">
        <v>23477</v>
      </c>
      <c r="I97" s="35">
        <v>0.24</v>
      </c>
      <c r="J97" s="132">
        <f t="shared" si="1"/>
        <v>5634.48</v>
      </c>
    </row>
    <row r="98" ht="16.5" spans="1:15">
      <c r="A98" s="28"/>
      <c r="B98" s="29"/>
      <c r="C98" s="29"/>
      <c r="D98" s="73"/>
      <c r="E98" s="29"/>
      <c r="F98" s="62"/>
      <c r="G98" s="34" t="s">
        <v>22</v>
      </c>
      <c r="H98" s="35">
        <v>23477</v>
      </c>
      <c r="I98" s="34">
        <v>0.11</v>
      </c>
      <c r="J98" s="34">
        <f t="shared" si="1"/>
        <v>2582.47</v>
      </c>
    </row>
    <row r="99" ht="16.5" spans="1:15">
      <c r="A99" s="28"/>
      <c r="B99" s="29"/>
      <c r="C99" s="29"/>
      <c r="D99" s="73"/>
      <c r="E99" s="29"/>
      <c r="F99" s="62"/>
      <c r="G99" s="35" t="s">
        <v>135</v>
      </c>
      <c r="H99" s="35">
        <v>23477</v>
      </c>
      <c r="I99" s="35">
        <v>0.22</v>
      </c>
      <c r="J99" s="34">
        <f t="shared" si="1"/>
        <v>5164.94</v>
      </c>
    </row>
    <row r="100" ht="16.5" spans="1:15">
      <c r="A100" s="28"/>
      <c r="B100" s="29"/>
      <c r="C100" s="29"/>
      <c r="D100" s="73"/>
      <c r="E100" s="29"/>
      <c r="F100" s="62"/>
      <c r="G100" s="35" t="s">
        <v>161</v>
      </c>
      <c r="H100" s="35">
        <f>180+160+120+175+100+145</f>
        <v>880</v>
      </c>
      <c r="I100" s="35">
        <v>0.24</v>
      </c>
      <c r="J100" s="34">
        <f t="shared" si="1"/>
        <v>211.2</v>
      </c>
      <c r="M100" s="133">
        <f>SUM(M2:M99)</f>
        <v>209129.48</v>
      </c>
      <c r="O100">
        <v>209129.48</v>
      </c>
    </row>
    <row r="101" ht="16.5" spans="1:15">
      <c r="J101" s="134">
        <f>SUM(J3:J100)</f>
        <v>220872.112</v>
      </c>
    </row>
  </sheetData>
  <autoFilter xmlns:etc="http://www.wps.cn/officeDocument/2017/etCustomData" ref="A1:J101" etc:filterBottomFollowUsedRange="0">
    <extLst/>
  </autoFilter>
  <mergeCells count="162">
    <mergeCell ref="A1:J1"/>
    <mergeCell ref="A3:A6"/>
    <mergeCell ref="A8:A11"/>
    <mergeCell ref="A12:A15"/>
    <mergeCell ref="A16:A19"/>
    <mergeCell ref="A20:A23"/>
    <mergeCell ref="A24:A29"/>
    <mergeCell ref="A30:A38"/>
    <mergeCell ref="A39:A40"/>
    <mergeCell ref="A41:A45"/>
    <mergeCell ref="A46:A50"/>
    <mergeCell ref="A51:A56"/>
    <mergeCell ref="A57:A62"/>
    <mergeCell ref="A63:A70"/>
    <mergeCell ref="A71:A76"/>
    <mergeCell ref="A77:A82"/>
    <mergeCell ref="A83:A84"/>
    <mergeCell ref="A85:A88"/>
    <mergeCell ref="A89:A100"/>
    <mergeCell ref="B3:B6"/>
    <mergeCell ref="B8:B11"/>
    <mergeCell ref="B12:B15"/>
    <mergeCell ref="B16:B19"/>
    <mergeCell ref="B20:B23"/>
    <mergeCell ref="B24:B29"/>
    <mergeCell ref="B30:B38"/>
    <mergeCell ref="B39:B40"/>
    <mergeCell ref="B41:B45"/>
    <mergeCell ref="B46:B50"/>
    <mergeCell ref="B51:B56"/>
    <mergeCell ref="B57:B62"/>
    <mergeCell ref="B63:B70"/>
    <mergeCell ref="B71:B76"/>
    <mergeCell ref="B77:B82"/>
    <mergeCell ref="B83:B84"/>
    <mergeCell ref="B85:B88"/>
    <mergeCell ref="B89:B100"/>
    <mergeCell ref="C3:C6"/>
    <mergeCell ref="C8:C11"/>
    <mergeCell ref="C12:C15"/>
    <mergeCell ref="C16:C19"/>
    <mergeCell ref="C20:C23"/>
    <mergeCell ref="C24:C29"/>
    <mergeCell ref="C30:C38"/>
    <mergeCell ref="C39:C40"/>
    <mergeCell ref="C41:C45"/>
    <mergeCell ref="C46:C50"/>
    <mergeCell ref="C51:C56"/>
    <mergeCell ref="C57:C62"/>
    <mergeCell ref="C63:C70"/>
    <mergeCell ref="C71:C76"/>
    <mergeCell ref="C77:C82"/>
    <mergeCell ref="C83:C84"/>
    <mergeCell ref="C85:C88"/>
    <mergeCell ref="C89:C100"/>
    <mergeCell ref="D3:D6"/>
    <mergeCell ref="D8:D11"/>
    <mergeCell ref="D12:D15"/>
    <mergeCell ref="D16:D19"/>
    <mergeCell ref="D20:D23"/>
    <mergeCell ref="D24:D29"/>
    <mergeCell ref="D30:D38"/>
    <mergeCell ref="D39:D40"/>
    <mergeCell ref="D41:D45"/>
    <mergeCell ref="D46:D50"/>
    <mergeCell ref="D51:D56"/>
    <mergeCell ref="D57:D62"/>
    <mergeCell ref="D63:D70"/>
    <mergeCell ref="D71:D76"/>
    <mergeCell ref="D77:D82"/>
    <mergeCell ref="D83:D84"/>
    <mergeCell ref="D85:D88"/>
    <mergeCell ref="D89:D100"/>
    <mergeCell ref="E3:E6"/>
    <mergeCell ref="E8:E11"/>
    <mergeCell ref="E12:E15"/>
    <mergeCell ref="E16:E19"/>
    <mergeCell ref="E20:E23"/>
    <mergeCell ref="E24:E29"/>
    <mergeCell ref="E30:E38"/>
    <mergeCell ref="E39:E40"/>
    <mergeCell ref="E41:E45"/>
    <mergeCell ref="E46:E50"/>
    <mergeCell ref="E51:E56"/>
    <mergeCell ref="E57:E62"/>
    <mergeCell ref="E63:E70"/>
    <mergeCell ref="E71:E76"/>
    <mergeCell ref="E77:E82"/>
    <mergeCell ref="E83:E84"/>
    <mergeCell ref="E85:E88"/>
    <mergeCell ref="E89:E100"/>
    <mergeCell ref="F3:F6"/>
    <mergeCell ref="F8:F9"/>
    <mergeCell ref="F12:F13"/>
    <mergeCell ref="F14:F15"/>
    <mergeCell ref="F16:F17"/>
    <mergeCell ref="F18:F19"/>
    <mergeCell ref="F20:F21"/>
    <mergeCell ref="F22:F23"/>
    <mergeCell ref="F24:F25"/>
    <mergeCell ref="F26:F28"/>
    <mergeCell ref="F30:F38"/>
    <mergeCell ref="F39:F40"/>
    <mergeCell ref="F41:F45"/>
    <mergeCell ref="F46:F50"/>
    <mergeCell ref="F51:F53"/>
    <mergeCell ref="F54:F55"/>
    <mergeCell ref="F57:F59"/>
    <mergeCell ref="F61:F62"/>
    <mergeCell ref="F63:F66"/>
    <mergeCell ref="F68:F70"/>
    <mergeCell ref="F71:F76"/>
    <mergeCell ref="F77:F82"/>
    <mergeCell ref="F83:F84"/>
    <mergeCell ref="F85:F86"/>
    <mergeCell ref="F87:F88"/>
    <mergeCell ref="F89:F91"/>
    <mergeCell ref="F93:F96"/>
    <mergeCell ref="F97:F100"/>
    <mergeCell ref="K2:K9"/>
    <mergeCell ref="K11:K18"/>
    <mergeCell ref="K19:K24"/>
    <mergeCell ref="K26:K30"/>
    <mergeCell ref="K32:K36"/>
    <mergeCell ref="K37:K40"/>
    <mergeCell ref="K43:K46"/>
    <mergeCell ref="K47:K50"/>
    <mergeCell ref="K51:K57"/>
    <mergeCell ref="K59:K61"/>
    <mergeCell ref="K62:K64"/>
    <mergeCell ref="K65:K73"/>
    <mergeCell ref="K74:K80"/>
    <mergeCell ref="K81:K85"/>
    <mergeCell ref="L2:L9"/>
    <mergeCell ref="L11:L18"/>
    <mergeCell ref="L19:L24"/>
    <mergeCell ref="L26:L30"/>
    <mergeCell ref="L32:L36"/>
    <mergeCell ref="L37:L40"/>
    <mergeCell ref="L43:L46"/>
    <mergeCell ref="L47:L50"/>
    <mergeCell ref="L51:L57"/>
    <mergeCell ref="L59:L61"/>
    <mergeCell ref="L62:L64"/>
    <mergeCell ref="L65:L73"/>
    <mergeCell ref="L74:L79"/>
    <mergeCell ref="L81:L85"/>
    <mergeCell ref="M2:M9"/>
    <mergeCell ref="M11:M18"/>
    <mergeCell ref="M19:M24"/>
    <mergeCell ref="M26:M30"/>
    <mergeCell ref="M32:M36"/>
    <mergeCell ref="M37:M40"/>
    <mergeCell ref="M43:M46"/>
    <mergeCell ref="M47:M50"/>
    <mergeCell ref="M51:M57"/>
    <mergeCell ref="M59:M61"/>
    <mergeCell ref="M62:M64"/>
    <mergeCell ref="M65:M73"/>
    <mergeCell ref="M74:M79"/>
    <mergeCell ref="M81:M85"/>
    <mergeCell ref="N2:N85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opLeftCell="A9" workbookViewId="0">
      <selection activeCell="J36" sqref="J36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7.9090909090909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162</v>
      </c>
    </row>
    <row r="3" ht="33" hidden="1" spans="1:10">
      <c r="A3" s="79">
        <v>45761</v>
      </c>
      <c r="B3" s="69" t="s">
        <v>39</v>
      </c>
      <c r="C3" s="69">
        <v>76382</v>
      </c>
      <c r="D3" s="80" t="s">
        <v>163</v>
      </c>
      <c r="E3" s="69" t="s">
        <v>164</v>
      </c>
      <c r="F3" s="81" t="s">
        <v>165</v>
      </c>
      <c r="G3" s="82" t="s">
        <v>166</v>
      </c>
      <c r="H3" s="82">
        <v>201</v>
      </c>
      <c r="I3" s="82">
        <v>0.007</v>
      </c>
      <c r="J3" s="82">
        <f t="shared" ref="J3:J27" si="0">H3*I3</f>
        <v>1.407</v>
      </c>
    </row>
    <row r="4" ht="16.5" spans="1:10">
      <c r="A4" s="28">
        <v>45755</v>
      </c>
      <c r="B4" s="28" t="s">
        <v>39</v>
      </c>
      <c r="C4" s="28" t="s">
        <v>167</v>
      </c>
      <c r="D4" s="83" t="s">
        <v>168</v>
      </c>
      <c r="E4" s="28" t="s">
        <v>169</v>
      </c>
      <c r="F4" s="28" t="s">
        <v>170</v>
      </c>
      <c r="G4" s="34" t="s">
        <v>171</v>
      </c>
      <c r="H4" s="34">
        <f>5926</f>
        <v>5926</v>
      </c>
      <c r="I4" s="34">
        <f>0.007*2</f>
        <v>0.014</v>
      </c>
      <c r="J4" s="84">
        <f t="shared" si="0"/>
        <v>82.964</v>
      </c>
    </row>
    <row r="5" ht="16.5" spans="1:10">
      <c r="A5" s="28"/>
      <c r="B5" s="28"/>
      <c r="C5" s="28"/>
      <c r="D5" s="83"/>
      <c r="E5" s="28"/>
      <c r="F5" s="28" t="s">
        <v>172</v>
      </c>
      <c r="G5" s="34" t="s">
        <v>173</v>
      </c>
      <c r="H5" s="34">
        <f>58</f>
        <v>58</v>
      </c>
      <c r="I5" s="34">
        <v>0</v>
      </c>
      <c r="J5" s="85">
        <f t="shared" si="0"/>
        <v>0</v>
      </c>
    </row>
    <row r="6" ht="16.5" spans="1:10">
      <c r="A6" s="28">
        <v>45825</v>
      </c>
      <c r="B6" s="28" t="s">
        <v>39</v>
      </c>
      <c r="C6" s="86" t="s">
        <v>174</v>
      </c>
      <c r="D6" s="83" t="s">
        <v>175</v>
      </c>
      <c r="E6" s="28" t="s">
        <v>176</v>
      </c>
      <c r="F6" s="87" t="s">
        <v>177</v>
      </c>
      <c r="G6" s="34" t="s">
        <v>21</v>
      </c>
      <c r="H6" s="34">
        <v>1200</v>
      </c>
      <c r="I6" s="34">
        <v>0.039</v>
      </c>
      <c r="J6" s="85">
        <f t="shared" si="0"/>
        <v>46.8</v>
      </c>
    </row>
    <row r="7" ht="16.5" spans="1:10">
      <c r="A7" s="28"/>
      <c r="B7" s="28"/>
      <c r="C7" s="86"/>
      <c r="D7" s="83"/>
      <c r="E7" s="28"/>
      <c r="F7" s="88"/>
      <c r="G7" s="34" t="s">
        <v>178</v>
      </c>
      <c r="H7" s="34">
        <f>H6*0.01</f>
        <v>12</v>
      </c>
      <c r="I7" s="34">
        <v>0</v>
      </c>
      <c r="J7" s="85">
        <f t="shared" si="0"/>
        <v>0</v>
      </c>
    </row>
    <row r="8" ht="16.5" spans="1:10">
      <c r="A8" s="89">
        <v>45832</v>
      </c>
      <c r="B8" s="89" t="s">
        <v>39</v>
      </c>
      <c r="C8" s="90">
        <v>78832</v>
      </c>
      <c r="D8" s="91" t="s">
        <v>179</v>
      </c>
      <c r="E8" s="89" t="s">
        <v>180</v>
      </c>
      <c r="F8" s="92" t="s">
        <v>181</v>
      </c>
      <c r="G8" s="35" t="s">
        <v>21</v>
      </c>
      <c r="H8" s="35">
        <v>3500</v>
      </c>
      <c r="I8" s="35">
        <v>0.039</v>
      </c>
      <c r="J8" s="85">
        <f t="shared" si="0"/>
        <v>136.5</v>
      </c>
    </row>
    <row r="9" ht="16.5" spans="1:10">
      <c r="A9" s="89"/>
      <c r="B9" s="89"/>
      <c r="C9" s="93"/>
      <c r="D9" s="91"/>
      <c r="E9" s="89"/>
      <c r="F9" s="94"/>
      <c r="G9" s="35" t="s">
        <v>178</v>
      </c>
      <c r="H9" s="35">
        <f>H8*0.01</f>
        <v>35</v>
      </c>
      <c r="I9" s="35">
        <v>0</v>
      </c>
      <c r="J9" s="85">
        <f t="shared" si="0"/>
        <v>0</v>
      </c>
    </row>
    <row r="10" ht="16.5" spans="1:10">
      <c r="A10" s="28">
        <v>45848</v>
      </c>
      <c r="B10" s="29" t="s">
        <v>39</v>
      </c>
      <c r="C10" s="29" t="s">
        <v>182</v>
      </c>
      <c r="D10" s="73" t="s">
        <v>183</v>
      </c>
      <c r="E10" s="29" t="s">
        <v>184</v>
      </c>
      <c r="F10" s="28" t="s">
        <v>67</v>
      </c>
      <c r="G10" s="35" t="s">
        <v>87</v>
      </c>
      <c r="H10" s="35">
        <v>2000</v>
      </c>
      <c r="I10" s="35">
        <v>0.039</v>
      </c>
      <c r="J10" s="85">
        <f t="shared" si="0"/>
        <v>78</v>
      </c>
    </row>
    <row r="11" ht="16.5" spans="1:10">
      <c r="A11" s="28"/>
      <c r="B11" s="29"/>
      <c r="C11" s="29"/>
      <c r="D11" s="73"/>
      <c r="E11" s="29"/>
      <c r="F11" s="28"/>
      <c r="G11" s="35" t="s">
        <v>178</v>
      </c>
      <c r="H11" s="35">
        <f>H10*0.01</f>
        <v>20</v>
      </c>
      <c r="I11" s="34">
        <v>0</v>
      </c>
      <c r="J11" s="85">
        <f t="shared" si="0"/>
        <v>0</v>
      </c>
    </row>
    <row r="12" ht="16.5" spans="1:10">
      <c r="A12" s="28"/>
      <c r="B12" s="29"/>
      <c r="C12" s="29"/>
      <c r="D12" s="73"/>
      <c r="E12" s="29"/>
      <c r="F12" s="28" t="s">
        <v>185</v>
      </c>
      <c r="G12" s="34" t="s">
        <v>70</v>
      </c>
      <c r="H12" s="34">
        <f>3200</f>
        <v>3200</v>
      </c>
      <c r="I12" s="34">
        <f>0.007*5</f>
        <v>0.035</v>
      </c>
      <c r="J12" s="85">
        <f t="shared" si="0"/>
        <v>112</v>
      </c>
    </row>
    <row r="13" ht="16.5" spans="1:10">
      <c r="A13" s="89">
        <v>45848</v>
      </c>
      <c r="B13" s="89" t="s">
        <v>39</v>
      </c>
      <c r="C13" s="90">
        <v>79777</v>
      </c>
      <c r="D13" s="91" t="s">
        <v>186</v>
      </c>
      <c r="E13" s="89" t="s">
        <v>187</v>
      </c>
      <c r="F13" s="89" t="s">
        <v>188</v>
      </c>
      <c r="G13" s="35" t="s">
        <v>21</v>
      </c>
      <c r="H13" s="35">
        <v>3000</v>
      </c>
      <c r="I13" s="35">
        <v>0.039</v>
      </c>
      <c r="J13" s="85">
        <f t="shared" si="0"/>
        <v>117</v>
      </c>
    </row>
    <row r="14" ht="16.5" spans="1:10">
      <c r="A14" s="89"/>
      <c r="B14" s="89"/>
      <c r="C14" s="93"/>
      <c r="D14" s="91"/>
      <c r="E14" s="89"/>
      <c r="F14" s="89"/>
      <c r="G14" s="35" t="s">
        <v>178</v>
      </c>
      <c r="H14" s="35">
        <f>3000*0.01</f>
        <v>30</v>
      </c>
      <c r="I14" s="35">
        <v>0</v>
      </c>
      <c r="J14" s="85">
        <f t="shared" si="0"/>
        <v>0</v>
      </c>
    </row>
    <row r="15" ht="16.5" spans="1:10">
      <c r="A15" s="28">
        <v>45866</v>
      </c>
      <c r="B15" s="29" t="s">
        <v>39</v>
      </c>
      <c r="C15" s="29">
        <v>84011</v>
      </c>
      <c r="D15" s="73" t="s">
        <v>189</v>
      </c>
      <c r="E15" s="29" t="s">
        <v>190</v>
      </c>
      <c r="F15" s="28" t="s">
        <v>86</v>
      </c>
      <c r="G15" s="95" t="s">
        <v>191</v>
      </c>
      <c r="H15" s="95">
        <v>750</v>
      </c>
      <c r="I15" s="85">
        <v>0.034</v>
      </c>
      <c r="J15" s="85">
        <f t="shared" si="0"/>
        <v>25.5</v>
      </c>
    </row>
    <row r="16" ht="16.5" spans="1:10">
      <c r="A16" s="28"/>
      <c r="B16" s="29"/>
      <c r="C16" s="29"/>
      <c r="D16" s="73"/>
      <c r="E16" s="29"/>
      <c r="F16" s="28"/>
      <c r="G16" s="95" t="s">
        <v>192</v>
      </c>
      <c r="H16" s="85">
        <v>8</v>
      </c>
      <c r="I16" s="85">
        <v>0</v>
      </c>
      <c r="J16" s="85">
        <f t="shared" si="0"/>
        <v>0</v>
      </c>
    </row>
    <row r="17" ht="16.5" spans="1:10">
      <c r="A17" s="28"/>
      <c r="B17" s="29"/>
      <c r="C17" s="29"/>
      <c r="D17" s="73"/>
      <c r="E17" s="29"/>
      <c r="F17" s="28" t="s">
        <v>193</v>
      </c>
      <c r="G17" s="95" t="s">
        <v>194</v>
      </c>
      <c r="H17" s="95">
        <v>750</v>
      </c>
      <c r="I17" s="85">
        <v>0.026</v>
      </c>
      <c r="J17" s="85">
        <f t="shared" si="0"/>
        <v>19.5</v>
      </c>
    </row>
    <row r="18" ht="16.5" spans="1:10">
      <c r="A18" s="28"/>
      <c r="B18" s="29"/>
      <c r="C18" s="29"/>
      <c r="D18" s="73"/>
      <c r="E18" s="29"/>
      <c r="F18" s="28"/>
      <c r="G18" s="95" t="s">
        <v>195</v>
      </c>
      <c r="H18" s="85">
        <v>8</v>
      </c>
      <c r="I18" s="85">
        <v>0</v>
      </c>
      <c r="J18" s="85">
        <f t="shared" si="0"/>
        <v>0</v>
      </c>
    </row>
    <row r="19" ht="16.5" spans="1:10">
      <c r="A19" s="28">
        <v>45883</v>
      </c>
      <c r="B19" s="29" t="s">
        <v>39</v>
      </c>
      <c r="C19" s="29" t="s">
        <v>43</v>
      </c>
      <c r="D19" s="73" t="s">
        <v>196</v>
      </c>
      <c r="E19" s="29" t="s">
        <v>197</v>
      </c>
      <c r="F19" s="28" t="s">
        <v>198</v>
      </c>
      <c r="G19" s="35" t="s">
        <v>199</v>
      </c>
      <c r="H19" s="34">
        <v>15470</v>
      </c>
      <c r="I19" s="85">
        <v>0.06</v>
      </c>
      <c r="J19" s="85">
        <f t="shared" si="0"/>
        <v>928.2</v>
      </c>
    </row>
    <row r="20" ht="16.5" spans="1:10">
      <c r="A20" s="28"/>
      <c r="B20" s="29"/>
      <c r="C20" s="29"/>
      <c r="D20" s="73"/>
      <c r="E20" s="29"/>
      <c r="F20" s="28"/>
      <c r="G20" s="35" t="s">
        <v>200</v>
      </c>
      <c r="H20" s="34">
        <v>773</v>
      </c>
      <c r="I20" s="85">
        <v>0</v>
      </c>
      <c r="J20" s="85">
        <f t="shared" si="0"/>
        <v>0</v>
      </c>
    </row>
    <row r="21" ht="16.5" spans="1:10">
      <c r="A21" s="28">
        <v>45907</v>
      </c>
      <c r="B21" s="29" t="s">
        <v>39</v>
      </c>
      <c r="C21" s="29">
        <v>40061</v>
      </c>
      <c r="D21" s="73" t="s">
        <v>201</v>
      </c>
      <c r="E21" s="29" t="s">
        <v>202</v>
      </c>
      <c r="F21" s="28" t="s">
        <v>203</v>
      </c>
      <c r="G21" s="34" t="s">
        <v>204</v>
      </c>
      <c r="H21" s="34">
        <v>9500</v>
      </c>
      <c r="I21" s="85">
        <v>0.007</v>
      </c>
      <c r="J21" s="85">
        <f t="shared" si="0"/>
        <v>66.5</v>
      </c>
    </row>
    <row r="22" ht="16.5" spans="1:10">
      <c r="A22" s="28"/>
      <c r="B22" s="29"/>
      <c r="C22" s="29"/>
      <c r="D22" s="73"/>
      <c r="E22" s="29"/>
      <c r="F22" s="28"/>
      <c r="G22" s="34" t="s">
        <v>205</v>
      </c>
      <c r="H22" s="35">
        <f>H21*0.01</f>
        <v>95</v>
      </c>
      <c r="I22" s="85">
        <v>0</v>
      </c>
      <c r="J22" s="85">
        <f t="shared" si="0"/>
        <v>0</v>
      </c>
    </row>
    <row r="23" ht="16.5" spans="1:10">
      <c r="A23" s="28">
        <v>45910</v>
      </c>
      <c r="B23" s="29" t="s">
        <v>39</v>
      </c>
      <c r="C23" s="29">
        <v>85359</v>
      </c>
      <c r="D23" s="73" t="s">
        <v>206</v>
      </c>
      <c r="E23" s="29" t="s">
        <v>207</v>
      </c>
      <c r="F23" s="28" t="s">
        <v>208</v>
      </c>
      <c r="G23" s="34" t="s">
        <v>209</v>
      </c>
      <c r="H23" s="34">
        <f>1000</f>
        <v>1000</v>
      </c>
      <c r="I23" s="85">
        <f>0.007*2</f>
        <v>0.014</v>
      </c>
      <c r="J23" s="85">
        <f t="shared" si="0"/>
        <v>14</v>
      </c>
    </row>
    <row r="24" ht="16.5" spans="1:10">
      <c r="A24" s="28"/>
      <c r="B24" s="29"/>
      <c r="C24" s="29"/>
      <c r="D24" s="73"/>
      <c r="E24" s="29"/>
      <c r="F24" s="28"/>
      <c r="G24" s="29" t="s">
        <v>210</v>
      </c>
      <c r="H24" s="34">
        <f>H23*0.01</f>
        <v>10</v>
      </c>
      <c r="I24" s="85">
        <v>0</v>
      </c>
      <c r="J24" s="85">
        <f t="shared" si="0"/>
        <v>0</v>
      </c>
    </row>
    <row r="25" ht="16.5" spans="1:10">
      <c r="A25" s="28"/>
      <c r="B25" s="29"/>
      <c r="C25" s="29"/>
      <c r="D25" s="73"/>
      <c r="E25" s="29"/>
      <c r="F25" s="89" t="s">
        <v>211</v>
      </c>
      <c r="G25" s="35" t="s">
        <v>87</v>
      </c>
      <c r="H25" s="35">
        <v>1000</v>
      </c>
      <c r="I25" s="85">
        <v>0.039</v>
      </c>
      <c r="J25" s="85">
        <f t="shared" si="0"/>
        <v>39</v>
      </c>
    </row>
    <row r="26" ht="16.5" spans="1:10">
      <c r="A26" s="28"/>
      <c r="B26" s="29"/>
      <c r="C26" s="29"/>
      <c r="D26" s="73"/>
      <c r="E26" s="29"/>
      <c r="F26" s="89"/>
      <c r="G26" s="35" t="s">
        <v>178</v>
      </c>
      <c r="H26" s="35">
        <f>H25*0.01</f>
        <v>10</v>
      </c>
      <c r="I26" s="34">
        <v>0</v>
      </c>
      <c r="J26" s="85">
        <f t="shared" si="0"/>
        <v>0</v>
      </c>
    </row>
    <row r="27" ht="16.5" spans="1:10">
      <c r="A27" s="28">
        <v>45924</v>
      </c>
      <c r="B27" s="28" t="s">
        <v>39</v>
      </c>
      <c r="C27" s="86" t="s">
        <v>212</v>
      </c>
      <c r="D27" s="83" t="s">
        <v>213</v>
      </c>
      <c r="E27" s="28" t="s">
        <v>214</v>
      </c>
      <c r="F27" s="28">
        <v>45927</v>
      </c>
      <c r="G27" s="35" t="s">
        <v>87</v>
      </c>
      <c r="H27" s="34">
        <v>3715</v>
      </c>
      <c r="I27" s="95">
        <v>0.039</v>
      </c>
      <c r="J27" s="95">
        <f t="shared" si="0"/>
        <v>144.885</v>
      </c>
    </row>
    <row r="28" ht="16.5" spans="1:10">
      <c r="A28" s="28"/>
      <c r="B28" s="28"/>
      <c r="C28" s="86"/>
      <c r="D28" s="83"/>
      <c r="E28" s="28"/>
      <c r="F28" s="28">
        <v>45929</v>
      </c>
      <c r="G28" s="35" t="s">
        <v>215</v>
      </c>
      <c r="H28" s="34">
        <v>37</v>
      </c>
      <c r="I28" s="95">
        <v>0</v>
      </c>
      <c r="J28" s="95">
        <v>0</v>
      </c>
    </row>
    <row r="29" ht="16.5" spans="1:10">
      <c r="A29" s="28">
        <v>45931</v>
      </c>
      <c r="B29" s="28" t="s">
        <v>39</v>
      </c>
      <c r="C29" s="86" t="s">
        <v>212</v>
      </c>
      <c r="D29" s="83" t="s">
        <v>216</v>
      </c>
      <c r="E29" s="28" t="s">
        <v>217</v>
      </c>
      <c r="F29" s="28">
        <v>45937</v>
      </c>
      <c r="G29" s="35" t="s">
        <v>87</v>
      </c>
      <c r="H29" s="34">
        <v>387</v>
      </c>
      <c r="I29" s="95">
        <v>0.039</v>
      </c>
      <c r="J29" s="95">
        <f>H29*I29</f>
        <v>15.093</v>
      </c>
    </row>
    <row r="30" ht="16.5" spans="1:10">
      <c r="A30" s="28"/>
      <c r="B30" s="28"/>
      <c r="C30" s="86"/>
      <c r="D30" s="83"/>
      <c r="E30" s="28"/>
      <c r="F30" s="28"/>
      <c r="G30" s="35" t="s">
        <v>215</v>
      </c>
      <c r="H30" s="34">
        <v>4</v>
      </c>
      <c r="I30" s="95">
        <v>0</v>
      </c>
      <c r="J30" s="95">
        <v>0</v>
      </c>
    </row>
    <row r="31" ht="16.5" spans="1:10">
      <c r="A31" s="28">
        <v>45931</v>
      </c>
      <c r="B31" s="28" t="s">
        <v>39</v>
      </c>
      <c r="C31" s="29">
        <v>40061</v>
      </c>
      <c r="D31" s="73" t="s">
        <v>218</v>
      </c>
      <c r="E31" s="29" t="s">
        <v>219</v>
      </c>
      <c r="F31" s="28">
        <v>45937</v>
      </c>
      <c r="G31" s="35" t="s">
        <v>87</v>
      </c>
      <c r="H31" s="34">
        <v>6000</v>
      </c>
      <c r="I31" s="95">
        <v>0.039</v>
      </c>
      <c r="J31" s="95">
        <f>H31*I31</f>
        <v>234</v>
      </c>
    </row>
    <row r="32" ht="16.5" spans="1:10">
      <c r="A32" s="28"/>
      <c r="B32" s="28"/>
      <c r="C32" s="29"/>
      <c r="D32" s="73"/>
      <c r="E32" s="29"/>
      <c r="F32" s="28"/>
      <c r="G32" s="35" t="s">
        <v>215</v>
      </c>
      <c r="H32" s="34" t="e">
        <f>#REF!*0.01</f>
        <v>#REF!</v>
      </c>
      <c r="I32" s="95">
        <v>0</v>
      </c>
      <c r="J32" s="95">
        <v>0</v>
      </c>
    </row>
    <row r="33" ht="16.5" spans="1:10">
      <c r="A33" s="28">
        <v>45935</v>
      </c>
      <c r="B33" s="28" t="s">
        <v>39</v>
      </c>
      <c r="C33" s="29">
        <v>87001</v>
      </c>
      <c r="D33" s="73" t="s">
        <v>220</v>
      </c>
      <c r="E33" s="29" t="s">
        <v>221</v>
      </c>
      <c r="F33" s="28">
        <v>45942</v>
      </c>
      <c r="G33" s="35" t="s">
        <v>87</v>
      </c>
      <c r="H33" s="34">
        <v>6844</v>
      </c>
      <c r="I33" s="95">
        <v>0.039</v>
      </c>
      <c r="J33" s="95">
        <f>H33*I33</f>
        <v>266.916</v>
      </c>
    </row>
    <row r="34" ht="16.5" spans="1:10">
      <c r="A34" s="28"/>
      <c r="B34" s="28"/>
      <c r="C34" s="29"/>
      <c r="D34" s="73"/>
      <c r="E34" s="29"/>
      <c r="F34" s="28"/>
      <c r="G34" s="35" t="s">
        <v>215</v>
      </c>
      <c r="H34" s="34">
        <v>69</v>
      </c>
      <c r="I34" s="95">
        <v>0</v>
      </c>
      <c r="J34" s="95">
        <v>0</v>
      </c>
    </row>
    <row r="35" ht="16.5" spans="1:10">
      <c r="J35" s="96">
        <f>SUM(J4:J34)</f>
        <v>2326.858</v>
      </c>
    </row>
  </sheetData>
  <autoFilter xmlns:etc="http://www.wps.cn/officeDocument/2017/etCustomData" ref="A1:J35" etc:filterBottomFollowUsedRange="0">
    <extLst/>
  </autoFilter>
  <mergeCells count="79">
    <mergeCell ref="A1:J1"/>
    <mergeCell ref="A4:A5"/>
    <mergeCell ref="A6:A7"/>
    <mergeCell ref="A8:A9"/>
    <mergeCell ref="A10:A12"/>
    <mergeCell ref="A13:A14"/>
    <mergeCell ref="A15:A18"/>
    <mergeCell ref="A19:A20"/>
    <mergeCell ref="A21:A22"/>
    <mergeCell ref="A23:A26"/>
    <mergeCell ref="A27:A28"/>
    <mergeCell ref="A29:A30"/>
    <mergeCell ref="A31:A32"/>
    <mergeCell ref="A33:A34"/>
    <mergeCell ref="B4:B5"/>
    <mergeCell ref="B6:B7"/>
    <mergeCell ref="B8:B9"/>
    <mergeCell ref="B10:B12"/>
    <mergeCell ref="B13:B14"/>
    <mergeCell ref="B15:B18"/>
    <mergeCell ref="B19:B20"/>
    <mergeCell ref="B21:B22"/>
    <mergeCell ref="B23:B26"/>
    <mergeCell ref="B27:B28"/>
    <mergeCell ref="B29:B30"/>
    <mergeCell ref="B31:B32"/>
    <mergeCell ref="B33:B34"/>
    <mergeCell ref="C4:C5"/>
    <mergeCell ref="C6:C7"/>
    <mergeCell ref="C8:C9"/>
    <mergeCell ref="C10:C12"/>
    <mergeCell ref="C13:C14"/>
    <mergeCell ref="C15:C18"/>
    <mergeCell ref="C19:C20"/>
    <mergeCell ref="C21:C22"/>
    <mergeCell ref="C23:C26"/>
    <mergeCell ref="C27:C28"/>
    <mergeCell ref="C29:C30"/>
    <mergeCell ref="C31:C32"/>
    <mergeCell ref="C33:C34"/>
    <mergeCell ref="D4:D5"/>
    <mergeCell ref="D6:D7"/>
    <mergeCell ref="D8:D9"/>
    <mergeCell ref="D10:D12"/>
    <mergeCell ref="D13:D14"/>
    <mergeCell ref="D15:D18"/>
    <mergeCell ref="D19:D20"/>
    <mergeCell ref="D21:D22"/>
    <mergeCell ref="D23:D26"/>
    <mergeCell ref="D27:D28"/>
    <mergeCell ref="D29:D30"/>
    <mergeCell ref="D31:D32"/>
    <mergeCell ref="D33:D34"/>
    <mergeCell ref="E4:E5"/>
    <mergeCell ref="E6:E7"/>
    <mergeCell ref="E8:E9"/>
    <mergeCell ref="E10:E12"/>
    <mergeCell ref="E13:E14"/>
    <mergeCell ref="E15:E18"/>
    <mergeCell ref="E19:E20"/>
    <mergeCell ref="E21:E22"/>
    <mergeCell ref="E23:E26"/>
    <mergeCell ref="E27:E28"/>
    <mergeCell ref="E29:E30"/>
    <mergeCell ref="E31:E32"/>
    <mergeCell ref="E33:E34"/>
    <mergeCell ref="F6:F7"/>
    <mergeCell ref="F8:F9"/>
    <mergeCell ref="F10:F11"/>
    <mergeCell ref="F13:F14"/>
    <mergeCell ref="F15:F16"/>
    <mergeCell ref="F17:F18"/>
    <mergeCell ref="F19:F20"/>
    <mergeCell ref="F21:F22"/>
    <mergeCell ref="F23:F24"/>
    <mergeCell ref="F25:F26"/>
    <mergeCell ref="F29:F30"/>
    <mergeCell ref="F31:F32"/>
    <mergeCell ref="F33:F3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25" sqref="G25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55</v>
      </c>
    </row>
    <row r="3" ht="16.5" spans="1:10">
      <c r="A3" s="28">
        <v>45730</v>
      </c>
      <c r="B3" s="29" t="s">
        <v>222</v>
      </c>
      <c r="C3" s="29" t="s">
        <v>223</v>
      </c>
      <c r="D3" s="73" t="s">
        <v>224</v>
      </c>
      <c r="E3" s="29" t="s">
        <v>225</v>
      </c>
      <c r="F3" s="67" t="s">
        <v>226</v>
      </c>
      <c r="G3" s="35" t="s">
        <v>227</v>
      </c>
      <c r="H3" s="74">
        <f>32000*1.02</f>
        <v>32640</v>
      </c>
      <c r="I3" s="68">
        <v>1.07</v>
      </c>
      <c r="J3" s="68">
        <f t="shared" ref="J3:J19" si="0">H3*I3</f>
        <v>34924.8</v>
      </c>
    </row>
    <row r="4" ht="16.5" spans="1:10">
      <c r="A4" s="28"/>
      <c r="B4" s="29"/>
      <c r="C4" s="29"/>
      <c r="D4" s="73"/>
      <c r="E4" s="29"/>
      <c r="F4" s="70"/>
      <c r="G4" s="35" t="s">
        <v>69</v>
      </c>
      <c r="H4" s="74">
        <v>320</v>
      </c>
      <c r="I4" s="68">
        <v>0</v>
      </c>
      <c r="J4" s="68">
        <f t="shared" si="0"/>
        <v>0</v>
      </c>
    </row>
    <row r="5" ht="16.5" spans="1:10">
      <c r="A5" s="28"/>
      <c r="B5" s="29"/>
      <c r="C5" s="29"/>
      <c r="D5" s="73"/>
      <c r="E5" s="29"/>
      <c r="F5" s="70"/>
      <c r="G5" s="29" t="s">
        <v>102</v>
      </c>
      <c r="H5" s="74">
        <f>2*5*5+5</f>
        <v>55</v>
      </c>
      <c r="I5" s="68">
        <v>0</v>
      </c>
      <c r="J5" s="68">
        <f t="shared" si="0"/>
        <v>0</v>
      </c>
    </row>
    <row r="6" ht="16.5" spans="1:10">
      <c r="A6" s="28"/>
      <c r="B6" s="29"/>
      <c r="C6" s="29"/>
      <c r="D6" s="73"/>
      <c r="E6" s="29"/>
      <c r="F6" s="70"/>
      <c r="G6" s="35" t="s">
        <v>87</v>
      </c>
      <c r="H6" s="74">
        <f>8000+8000+8000+8000</f>
        <v>32000</v>
      </c>
      <c r="I6" s="34">
        <v>0.28</v>
      </c>
      <c r="J6" s="68">
        <f t="shared" si="0"/>
        <v>8960</v>
      </c>
    </row>
    <row r="7" ht="16.5" spans="1:10">
      <c r="A7" s="28"/>
      <c r="B7" s="29"/>
      <c r="C7" s="29"/>
      <c r="D7" s="73"/>
      <c r="E7" s="29"/>
      <c r="F7" s="70"/>
      <c r="G7" s="34" t="s">
        <v>22</v>
      </c>
      <c r="H7" s="74">
        <f>8000+8000+8000+8000</f>
        <v>32000</v>
      </c>
      <c r="I7" s="34">
        <v>0.11</v>
      </c>
      <c r="J7" s="68">
        <f t="shared" si="0"/>
        <v>3520</v>
      </c>
    </row>
    <row r="8" ht="16.5" spans="1:10">
      <c r="A8" s="28"/>
      <c r="B8" s="29"/>
      <c r="C8" s="29"/>
      <c r="D8" s="73"/>
      <c r="E8" s="29"/>
      <c r="F8" s="71"/>
      <c r="G8" s="34" t="s">
        <v>122</v>
      </c>
      <c r="H8" s="34">
        <f>32000*4</f>
        <v>128000</v>
      </c>
      <c r="I8" s="34">
        <v>0.042</v>
      </c>
      <c r="J8" s="34">
        <f t="shared" si="0"/>
        <v>5376</v>
      </c>
    </row>
    <row r="9" ht="16.5" spans="1:10">
      <c r="A9" s="28">
        <v>45742</v>
      </c>
      <c r="B9" s="29" t="s">
        <v>222</v>
      </c>
      <c r="C9" s="29" t="s">
        <v>228</v>
      </c>
      <c r="D9" s="73" t="s">
        <v>229</v>
      </c>
      <c r="E9" s="29" t="s">
        <v>230</v>
      </c>
      <c r="F9" s="76" t="s">
        <v>231</v>
      </c>
      <c r="G9" s="35" t="s">
        <v>68</v>
      </c>
      <c r="H9" s="35">
        <v>8000</v>
      </c>
      <c r="I9" s="35">
        <v>1.07</v>
      </c>
      <c r="J9" s="35">
        <f t="shared" si="0"/>
        <v>8560</v>
      </c>
    </row>
    <row r="10" ht="16.5" spans="1:10">
      <c r="A10" s="28"/>
      <c r="B10" s="29"/>
      <c r="C10" s="29"/>
      <c r="D10" s="73"/>
      <c r="E10" s="29"/>
      <c r="F10" s="76"/>
      <c r="G10" s="35" t="s">
        <v>69</v>
      </c>
      <c r="H10" s="35">
        <f>H9*0.01</f>
        <v>80</v>
      </c>
      <c r="I10" s="35">
        <v>0</v>
      </c>
      <c r="J10" s="35">
        <f t="shared" si="0"/>
        <v>0</v>
      </c>
    </row>
    <row r="11" ht="16.5" spans="1:10">
      <c r="A11" s="28"/>
      <c r="B11" s="29"/>
      <c r="C11" s="29"/>
      <c r="D11" s="73"/>
      <c r="E11" s="29"/>
      <c r="F11" s="76"/>
      <c r="G11" s="35" t="s">
        <v>87</v>
      </c>
      <c r="H11" s="35">
        <v>8000</v>
      </c>
      <c r="I11" s="35">
        <v>0.28</v>
      </c>
      <c r="J11" s="35">
        <f t="shared" si="0"/>
        <v>2240</v>
      </c>
    </row>
    <row r="12" ht="16.5" spans="1:10">
      <c r="A12" s="28"/>
      <c r="B12" s="29"/>
      <c r="C12" s="29"/>
      <c r="D12" s="73"/>
      <c r="E12" s="29"/>
      <c r="F12" s="76"/>
      <c r="G12" s="35" t="s">
        <v>22</v>
      </c>
      <c r="H12" s="35">
        <v>8000</v>
      </c>
      <c r="I12" s="35">
        <v>0.11</v>
      </c>
      <c r="J12" s="35">
        <f t="shared" si="0"/>
        <v>880</v>
      </c>
    </row>
    <row r="13" ht="16.5" spans="1:10">
      <c r="A13" s="28"/>
      <c r="B13" s="29"/>
      <c r="C13" s="29"/>
      <c r="D13" s="73"/>
      <c r="E13" s="29"/>
      <c r="F13" s="76"/>
      <c r="G13" s="35" t="s">
        <v>122</v>
      </c>
      <c r="H13" s="35">
        <f>8000*4</f>
        <v>32000</v>
      </c>
      <c r="I13" s="35">
        <v>0.042</v>
      </c>
      <c r="J13" s="35">
        <f t="shared" si="0"/>
        <v>1344</v>
      </c>
    </row>
    <row r="14" ht="16.5" spans="1:10">
      <c r="A14" s="28"/>
      <c r="B14" s="29"/>
      <c r="C14" s="29"/>
      <c r="D14" s="73"/>
      <c r="E14" s="29"/>
      <c r="F14" s="76"/>
      <c r="G14" s="35" t="s">
        <v>68</v>
      </c>
      <c r="H14" s="35">
        <v>5000</v>
      </c>
      <c r="I14" s="35">
        <v>1.07</v>
      </c>
      <c r="J14" s="35">
        <f t="shared" si="0"/>
        <v>5350</v>
      </c>
    </row>
    <row r="15" ht="16.5" spans="1:10">
      <c r="A15" s="28"/>
      <c r="B15" s="29"/>
      <c r="C15" s="29"/>
      <c r="D15" s="73"/>
      <c r="E15" s="29"/>
      <c r="F15" s="76"/>
      <c r="G15" s="35" t="s">
        <v>69</v>
      </c>
      <c r="H15" s="35">
        <f>H14*0.01</f>
        <v>50</v>
      </c>
      <c r="I15" s="35">
        <v>0</v>
      </c>
      <c r="J15" s="35">
        <f t="shared" si="0"/>
        <v>0</v>
      </c>
    </row>
    <row r="16" ht="16.5" spans="1:10">
      <c r="A16" s="28"/>
      <c r="B16" s="29"/>
      <c r="C16" s="29"/>
      <c r="D16" s="73"/>
      <c r="E16" s="29"/>
      <c r="F16" s="76"/>
      <c r="G16" s="35" t="s">
        <v>87</v>
      </c>
      <c r="H16" s="35">
        <v>5000</v>
      </c>
      <c r="I16" s="35">
        <v>0.28</v>
      </c>
      <c r="J16" s="35">
        <f t="shared" si="0"/>
        <v>1400</v>
      </c>
    </row>
    <row r="17" ht="16.5" spans="1:10">
      <c r="A17" s="28"/>
      <c r="B17" s="29"/>
      <c r="C17" s="29"/>
      <c r="D17" s="73"/>
      <c r="E17" s="29"/>
      <c r="F17" s="76"/>
      <c r="G17" s="35" t="s">
        <v>22</v>
      </c>
      <c r="H17" s="35">
        <v>5000</v>
      </c>
      <c r="I17" s="35">
        <v>0.11</v>
      </c>
      <c r="J17" s="35">
        <f t="shared" si="0"/>
        <v>550</v>
      </c>
    </row>
    <row r="18" ht="16.5" spans="1:10">
      <c r="A18" s="28"/>
      <c r="B18" s="29"/>
      <c r="C18" s="29"/>
      <c r="D18" s="73"/>
      <c r="E18" s="29"/>
      <c r="F18" s="76"/>
      <c r="G18" s="35" t="s">
        <v>122</v>
      </c>
      <c r="H18" s="35">
        <f>5000*4</f>
        <v>20000</v>
      </c>
      <c r="I18" s="35">
        <v>0.042</v>
      </c>
      <c r="J18" s="35">
        <f t="shared" si="0"/>
        <v>840</v>
      </c>
    </row>
    <row r="19" ht="16.5" spans="1:10">
      <c r="A19" s="28"/>
      <c r="B19" s="29"/>
      <c r="C19" s="29"/>
      <c r="D19" s="73"/>
      <c r="E19" s="29"/>
      <c r="F19" s="76"/>
      <c r="G19" s="35" t="s">
        <v>232</v>
      </c>
      <c r="H19" s="35">
        <v>43260</v>
      </c>
      <c r="I19" s="35">
        <v>0.33</v>
      </c>
      <c r="J19" s="35">
        <f t="shared" si="0"/>
        <v>14275.8</v>
      </c>
    </row>
    <row r="20" ht="16.5" spans="1:10">
      <c r="J20" s="78">
        <f>SUM(J3:J19)</f>
        <v>88220.6</v>
      </c>
    </row>
  </sheetData>
  <autoFilter xmlns:etc="http://www.wps.cn/officeDocument/2017/etCustomData" ref="A1:J20" etc:filterBottomFollowUsedRange="0">
    <extLst/>
  </autoFilter>
  <mergeCells count="13">
    <mergeCell ref="A1:J1"/>
    <mergeCell ref="A3:A8"/>
    <mergeCell ref="A9:A19"/>
    <mergeCell ref="B3:B8"/>
    <mergeCell ref="B9:B19"/>
    <mergeCell ref="C3:C8"/>
    <mergeCell ref="C9:C19"/>
    <mergeCell ref="D3:D8"/>
    <mergeCell ref="D9:D19"/>
    <mergeCell ref="E3:E8"/>
    <mergeCell ref="E9:E19"/>
    <mergeCell ref="F3:F8"/>
    <mergeCell ref="F9:F1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55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58</v>
      </c>
      <c r="E3" s="29" t="s">
        <v>59</v>
      </c>
      <c r="F3" s="47" t="s">
        <v>60</v>
      </c>
      <c r="G3" s="35" t="s">
        <v>37</v>
      </c>
      <c r="H3" s="35">
        <v>6000</v>
      </c>
      <c r="I3" s="57">
        <v>0.368</v>
      </c>
      <c r="J3" s="35">
        <f t="shared" ref="J3:J17" si="0">H3*I3</f>
        <v>2208</v>
      </c>
    </row>
    <row r="4" s="1" customFormat="1" ht="16.5" spans="1:11">
      <c r="A4" s="55"/>
      <c r="B4" s="34"/>
      <c r="C4" s="29"/>
      <c r="D4" s="56"/>
      <c r="E4" s="29"/>
      <c r="F4" s="47"/>
      <c r="G4" s="35" t="s">
        <v>38</v>
      </c>
      <c r="H4" s="35">
        <v>42000</v>
      </c>
      <c r="I4" s="58">
        <v>0.042</v>
      </c>
      <c r="J4" s="35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47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47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1">
      <c r="A7" s="59">
        <v>45663</v>
      </c>
      <c r="B7" s="34" t="s">
        <v>39</v>
      </c>
      <c r="C7" s="29" t="s">
        <v>233</v>
      </c>
      <c r="D7" s="56" t="s">
        <v>234</v>
      </c>
      <c r="E7" s="28" t="s">
        <v>235</v>
      </c>
      <c r="F7" s="60" t="s">
        <v>236</v>
      </c>
      <c r="G7" s="32" t="s">
        <v>237</v>
      </c>
      <c r="H7" s="35">
        <v>8526</v>
      </c>
      <c r="I7" s="35">
        <v>0.35</v>
      </c>
      <c r="J7" s="35">
        <f t="shared" si="0"/>
        <v>2984.1</v>
      </c>
    </row>
    <row r="8" s="1" customFormat="1" ht="16.5" spans="1:11">
      <c r="A8" s="61"/>
      <c r="B8" s="34"/>
      <c r="C8" s="29"/>
      <c r="D8" s="56"/>
      <c r="E8" s="62"/>
      <c r="F8" s="60" t="s">
        <v>236</v>
      </c>
      <c r="G8" s="32" t="s">
        <v>70</v>
      </c>
      <c r="H8" s="35">
        <f>H7*5</f>
        <v>42630</v>
      </c>
      <c r="I8" s="35">
        <v>0.042</v>
      </c>
      <c r="J8" s="35">
        <f t="shared" si="0"/>
        <v>1790.46</v>
      </c>
    </row>
    <row r="9" s="1" customFormat="1" ht="16.5" spans="1:11">
      <c r="A9" s="61"/>
      <c r="B9" s="34"/>
      <c r="C9" s="29"/>
      <c r="D9" s="56"/>
      <c r="E9" s="62"/>
      <c r="F9" s="60" t="s">
        <v>236</v>
      </c>
      <c r="G9" s="32" t="s">
        <v>21</v>
      </c>
      <c r="H9" s="35">
        <v>8526</v>
      </c>
      <c r="I9" s="35">
        <v>0.28</v>
      </c>
      <c r="J9" s="35">
        <f t="shared" si="0"/>
        <v>2387.28</v>
      </c>
      <c r="K9" s="63"/>
    </row>
    <row r="10" s="1" customFormat="1" ht="16.5" spans="1:11">
      <c r="A10" s="64"/>
      <c r="B10" s="34"/>
      <c r="C10" s="29"/>
      <c r="D10" s="56"/>
      <c r="E10" s="62"/>
      <c r="F10" s="60"/>
      <c r="G10" s="32" t="s">
        <v>22</v>
      </c>
      <c r="H10" s="35">
        <v>8526</v>
      </c>
      <c r="I10" s="35">
        <v>0.11</v>
      </c>
      <c r="J10" s="35">
        <f t="shared" si="0"/>
        <v>937.86</v>
      </c>
    </row>
    <row r="11" s="1" customFormat="1" ht="16.5" spans="1:11">
      <c r="A11" s="62">
        <v>45679</v>
      </c>
      <c r="B11" s="34" t="s">
        <v>39</v>
      </c>
      <c r="C11" s="29" t="s">
        <v>43</v>
      </c>
      <c r="D11" s="30" t="s">
        <v>61</v>
      </c>
      <c r="E11" s="39" t="s">
        <v>43</v>
      </c>
      <c r="F11" s="39" t="s">
        <v>62</v>
      </c>
      <c r="G11" s="32" t="s">
        <v>63</v>
      </c>
      <c r="H11" s="32">
        <v>2000</v>
      </c>
      <c r="I11" s="32">
        <v>0.05</v>
      </c>
      <c r="J11" s="35">
        <f t="shared" si="0"/>
        <v>100</v>
      </c>
      <c r="K11" s="36"/>
    </row>
    <row r="12" s="1" customFormat="1" ht="16.5" spans="1:11">
      <c r="A12" s="28">
        <v>45700</v>
      </c>
      <c r="B12" s="29" t="s">
        <v>39</v>
      </c>
      <c r="C12" s="29" t="s">
        <v>238</v>
      </c>
      <c r="D12" s="30" t="s">
        <v>239</v>
      </c>
      <c r="E12" s="29" t="s">
        <v>240</v>
      </c>
      <c r="F12" s="31" t="s">
        <v>241</v>
      </c>
      <c r="G12" s="32" t="s">
        <v>78</v>
      </c>
      <c r="H12" s="33">
        <v>8782</v>
      </c>
      <c r="I12" s="34">
        <v>1.07</v>
      </c>
      <c r="J12" s="35">
        <f t="shared" si="0"/>
        <v>9396.74</v>
      </c>
      <c r="K12" s="36"/>
    </row>
    <row r="13" s="1" customFormat="1" ht="16.5" spans="1:11">
      <c r="A13" s="28"/>
      <c r="B13" s="29"/>
      <c r="C13" s="29"/>
      <c r="D13" s="30"/>
      <c r="E13" s="29"/>
      <c r="F13" s="37"/>
      <c r="G13" s="32" t="s">
        <v>69</v>
      </c>
      <c r="H13" s="33">
        <f>H15*0.01</f>
        <v>85.26</v>
      </c>
      <c r="I13" s="34">
        <v>0</v>
      </c>
      <c r="J13" s="35">
        <f t="shared" si="0"/>
        <v>0</v>
      </c>
      <c r="K13" s="36"/>
    </row>
    <row r="14" s="1" customFormat="1" ht="16.5" spans="1:11">
      <c r="A14" s="28"/>
      <c r="B14" s="29"/>
      <c r="C14" s="29"/>
      <c r="D14" s="30"/>
      <c r="E14" s="29"/>
      <c r="F14" s="38"/>
      <c r="G14" s="32" t="s">
        <v>242</v>
      </c>
      <c r="H14" s="33">
        <f>20+5+5</f>
        <v>30</v>
      </c>
      <c r="I14" s="34">
        <v>0</v>
      </c>
      <c r="J14" s="35">
        <f t="shared" si="0"/>
        <v>0</v>
      </c>
      <c r="K14" s="36"/>
    </row>
    <row r="15" s="1" customFormat="1" ht="16.5" spans="1:11">
      <c r="A15" s="28"/>
      <c r="B15" s="29"/>
      <c r="C15" s="29"/>
      <c r="D15" s="30"/>
      <c r="E15" s="29"/>
      <c r="F15" s="39" t="s">
        <v>243</v>
      </c>
      <c r="G15" s="32" t="s">
        <v>87</v>
      </c>
      <c r="H15" s="34">
        <f>3500+2500+2500+26</f>
        <v>8526</v>
      </c>
      <c r="I15" s="34">
        <v>0.28</v>
      </c>
      <c r="J15" s="35">
        <f t="shared" si="0"/>
        <v>2387.28</v>
      </c>
      <c r="K15" s="36"/>
    </row>
    <row r="16" s="1" customFormat="1" ht="16.5" spans="1:11">
      <c r="A16" s="28"/>
      <c r="B16" s="29"/>
      <c r="C16" s="29"/>
      <c r="D16" s="30"/>
      <c r="E16" s="29"/>
      <c r="F16" s="39" t="s">
        <v>243</v>
      </c>
      <c r="G16" s="32" t="s">
        <v>244</v>
      </c>
      <c r="H16" s="34">
        <f>250+175</f>
        <v>425</v>
      </c>
      <c r="I16" s="34">
        <v>0.042</v>
      </c>
      <c r="J16" s="35">
        <f t="shared" si="0"/>
        <v>17.85</v>
      </c>
      <c r="K16" s="36"/>
    </row>
    <row r="17" s="1" customFormat="1" ht="16.5" spans="1:11">
      <c r="A17" s="28">
        <v>45701</v>
      </c>
      <c r="B17" s="29" t="s">
        <v>39</v>
      </c>
      <c r="C17" s="65" t="s">
        <v>245</v>
      </c>
      <c r="D17" s="66" t="s">
        <v>246</v>
      </c>
      <c r="E17" s="65" t="s">
        <v>247</v>
      </c>
      <c r="F17" s="67" t="s">
        <v>248</v>
      </c>
      <c r="G17" s="35" t="s">
        <v>78</v>
      </c>
      <c r="H17" s="68">
        <f>6077+4223</f>
        <v>10300</v>
      </c>
      <c r="I17" s="68">
        <v>1.07</v>
      </c>
      <c r="J17" s="68">
        <f t="shared" si="0"/>
        <v>11021</v>
      </c>
      <c r="K17" s="36"/>
    </row>
    <row r="18" s="1" customFormat="1" ht="16.5" spans="1:11">
      <c r="A18" s="28"/>
      <c r="B18" s="29"/>
      <c r="C18" s="69"/>
      <c r="D18" s="66"/>
      <c r="E18" s="65"/>
      <c r="F18" s="70"/>
      <c r="G18" s="35" t="s">
        <v>69</v>
      </c>
      <c r="H18" s="68">
        <f>10000*0.01</f>
        <v>100</v>
      </c>
      <c r="I18" s="68">
        <v>0</v>
      </c>
      <c r="J18" s="68">
        <v>0</v>
      </c>
      <c r="K18" s="36"/>
    </row>
    <row r="19" s="1" customFormat="1" ht="16.5" spans="1:11">
      <c r="A19" s="28"/>
      <c r="B19" s="29"/>
      <c r="C19" s="69"/>
      <c r="D19" s="66"/>
      <c r="E19" s="65"/>
      <c r="F19" s="70"/>
      <c r="G19" s="35" t="s">
        <v>87</v>
      </c>
      <c r="H19" s="34">
        <f>2200+1000</f>
        <v>3200</v>
      </c>
      <c r="I19" s="34">
        <v>0.28</v>
      </c>
      <c r="J19" s="34">
        <f t="shared" ref="J19:J24" si="1">H19*I19</f>
        <v>896</v>
      </c>
      <c r="K19" s="36"/>
    </row>
    <row r="20" s="1" customFormat="1" ht="16.5" spans="1:11">
      <c r="A20" s="28"/>
      <c r="B20" s="29"/>
      <c r="C20" s="69"/>
      <c r="D20" s="66"/>
      <c r="E20" s="65"/>
      <c r="F20" s="70"/>
      <c r="G20" s="34" t="s">
        <v>22</v>
      </c>
      <c r="H20" s="34">
        <v>10000</v>
      </c>
      <c r="I20" s="34">
        <v>0.11</v>
      </c>
      <c r="J20" s="34">
        <f t="shared" si="1"/>
        <v>1100</v>
      </c>
      <c r="K20" s="36"/>
    </row>
    <row r="21" s="1" customFormat="1" ht="16.5" spans="1:11">
      <c r="A21" s="28"/>
      <c r="B21" s="29"/>
      <c r="C21" s="69"/>
      <c r="D21" s="66"/>
      <c r="E21" s="65"/>
      <c r="F21" s="71"/>
      <c r="G21" s="34" t="s">
        <v>70</v>
      </c>
      <c r="H21" s="34">
        <f>3200*5</f>
        <v>16000</v>
      </c>
      <c r="I21" s="34">
        <v>0.042</v>
      </c>
      <c r="J21" s="34">
        <f t="shared" si="1"/>
        <v>672</v>
      </c>
      <c r="K21" s="36"/>
    </row>
    <row r="22" s="1" customFormat="1" ht="16.5" spans="1:11">
      <c r="A22" s="28"/>
      <c r="B22" s="29"/>
      <c r="C22" s="69"/>
      <c r="D22" s="66"/>
      <c r="E22" s="65"/>
      <c r="F22" s="72" t="s">
        <v>231</v>
      </c>
      <c r="G22" s="35" t="s">
        <v>249</v>
      </c>
      <c r="H22" s="34">
        <v>1000</v>
      </c>
      <c r="I22" s="34">
        <v>0.24</v>
      </c>
      <c r="J22" s="34">
        <f t="shared" si="1"/>
        <v>240</v>
      </c>
      <c r="K22" s="36"/>
    </row>
    <row r="23" s="1" customFormat="1" ht="16.5" spans="1:11">
      <c r="A23" s="28">
        <v>45716</v>
      </c>
      <c r="B23" s="29" t="s">
        <v>39</v>
      </c>
      <c r="C23" s="29" t="s">
        <v>250</v>
      </c>
      <c r="D23" s="73" t="s">
        <v>251</v>
      </c>
      <c r="E23" s="29" t="s">
        <v>252</v>
      </c>
      <c r="F23" s="67" t="s">
        <v>253</v>
      </c>
      <c r="G23" s="35" t="s">
        <v>78</v>
      </c>
      <c r="H23" s="68">
        <v>3104</v>
      </c>
      <c r="I23" s="68">
        <v>1.07</v>
      </c>
      <c r="J23" s="68">
        <f t="shared" si="1"/>
        <v>3321.28</v>
      </c>
      <c r="K23"/>
    </row>
    <row r="24" ht="16.5" spans="1:11">
      <c r="A24" s="28"/>
      <c r="B24" s="29"/>
      <c r="C24" s="29"/>
      <c r="D24" s="73"/>
      <c r="E24" s="29"/>
      <c r="F24" s="70"/>
      <c r="G24" s="35" t="s">
        <v>69</v>
      </c>
      <c r="H24" s="68">
        <v>30</v>
      </c>
      <c r="I24" s="68">
        <v>0</v>
      </c>
      <c r="J24" s="68">
        <f t="shared" si="1"/>
        <v>0</v>
      </c>
    </row>
    <row r="25" ht="16.5" spans="1:11">
      <c r="A25" s="28"/>
      <c r="B25" s="29"/>
      <c r="C25" s="29"/>
      <c r="D25" s="73"/>
      <c r="E25" s="29"/>
      <c r="F25" s="70"/>
      <c r="G25" s="29" t="s">
        <v>242</v>
      </c>
      <c r="H25" s="68">
        <v>30</v>
      </c>
      <c r="I25" s="68">
        <v>0</v>
      </c>
      <c r="J25" s="68">
        <v>0</v>
      </c>
    </row>
    <row r="26" ht="16.5" spans="1:11">
      <c r="A26" s="28"/>
      <c r="B26" s="29"/>
      <c r="C26" s="29"/>
      <c r="D26" s="73"/>
      <c r="E26" s="29"/>
      <c r="F26" s="70"/>
      <c r="G26" s="35" t="s">
        <v>87</v>
      </c>
      <c r="H26" s="34">
        <v>1013</v>
      </c>
      <c r="I26" s="34">
        <v>0.28</v>
      </c>
      <c r="J26" s="68">
        <f>H26*I26</f>
        <v>283.64</v>
      </c>
    </row>
    <row r="27" ht="16.5" spans="1:11">
      <c r="A27" s="28"/>
      <c r="B27" s="29"/>
      <c r="C27" s="29"/>
      <c r="D27" s="73"/>
      <c r="E27" s="29"/>
      <c r="F27" s="70"/>
      <c r="G27" s="34" t="s">
        <v>22</v>
      </c>
      <c r="H27" s="68">
        <f>1500+13+1000+500</f>
        <v>3013</v>
      </c>
      <c r="I27" s="34">
        <v>0.11</v>
      </c>
      <c r="J27" s="68">
        <f>H27*I27</f>
        <v>331.43</v>
      </c>
    </row>
    <row r="28" ht="16.5" spans="1:11">
      <c r="A28" s="28"/>
      <c r="B28" s="29"/>
      <c r="C28" s="29"/>
      <c r="D28" s="73"/>
      <c r="E28" s="29"/>
      <c r="F28" s="70"/>
      <c r="G28" s="35" t="s">
        <v>249</v>
      </c>
      <c r="H28" s="34">
        <f>1500+500</f>
        <v>2000</v>
      </c>
      <c r="I28" s="34">
        <v>0.24</v>
      </c>
      <c r="J28" s="68">
        <f>H28*I28</f>
        <v>480</v>
      </c>
    </row>
    <row r="29" ht="16.5" spans="1:11">
      <c r="A29" s="28"/>
      <c r="B29" s="29"/>
      <c r="C29" s="29"/>
      <c r="D29" s="73"/>
      <c r="E29" s="29"/>
      <c r="F29" s="71"/>
      <c r="G29" s="34" t="s">
        <v>70</v>
      </c>
      <c r="H29" s="34">
        <f>3013*5</f>
        <v>15065</v>
      </c>
      <c r="I29" s="34">
        <v>0.042</v>
      </c>
      <c r="J29" s="68">
        <f>H29*I29</f>
        <v>632.73</v>
      </c>
    </row>
    <row r="30" ht="16.5" spans="1:11">
      <c r="A30" s="28">
        <v>45724</v>
      </c>
      <c r="B30" s="29" t="s">
        <v>39</v>
      </c>
      <c r="C30" s="29" t="s">
        <v>43</v>
      </c>
      <c r="D30" s="73" t="s">
        <v>254</v>
      </c>
      <c r="E30" s="29" t="s">
        <v>255</v>
      </c>
      <c r="F30" s="67" t="s">
        <v>256</v>
      </c>
      <c r="G30" s="35" t="s">
        <v>68</v>
      </c>
      <c r="H30" s="74">
        <f>1402+2438+3049+2202+1210</f>
        <v>10301</v>
      </c>
      <c r="I30" s="68">
        <v>1.07</v>
      </c>
      <c r="J30" s="68">
        <f>H30*I30</f>
        <v>11022.07</v>
      </c>
    </row>
    <row r="31" ht="16.5" spans="1:11">
      <c r="A31" s="28"/>
      <c r="B31" s="29"/>
      <c r="C31" s="29"/>
      <c r="D31" s="73"/>
      <c r="E31" s="29"/>
      <c r="F31" s="70"/>
      <c r="G31" s="35" t="s">
        <v>69</v>
      </c>
      <c r="H31" s="74">
        <v>103</v>
      </c>
      <c r="I31" s="68">
        <v>0</v>
      </c>
      <c r="J31" s="68">
        <v>0</v>
      </c>
    </row>
    <row r="32" ht="16.5" spans="1:11">
      <c r="A32" s="28"/>
      <c r="B32" s="29"/>
      <c r="C32" s="29"/>
      <c r="D32" s="73"/>
      <c r="E32" s="29"/>
      <c r="F32" s="70"/>
      <c r="G32" s="35" t="s">
        <v>87</v>
      </c>
      <c r="H32" s="34">
        <f>589+1009+1220+883+505+773+1358+1740+1255+669</f>
        <v>10001</v>
      </c>
      <c r="I32" s="34">
        <v>0.28</v>
      </c>
      <c r="J32" s="34">
        <f t="shared" ref="J32:J41" si="2">H32*I32</f>
        <v>2800.28</v>
      </c>
    </row>
    <row r="33" ht="16.5" spans="1:10">
      <c r="A33" s="28"/>
      <c r="B33" s="29"/>
      <c r="C33" s="29"/>
      <c r="D33" s="73"/>
      <c r="E33" s="29"/>
      <c r="F33" s="70"/>
      <c r="G33" s="34" t="s">
        <v>22</v>
      </c>
      <c r="H33" s="35">
        <f>1362+2367+2960+2138+1174</f>
        <v>10001</v>
      </c>
      <c r="I33" s="34">
        <v>0.11</v>
      </c>
      <c r="J33" s="34">
        <f t="shared" si="2"/>
        <v>1100.11</v>
      </c>
    </row>
    <row r="34" ht="16.5" spans="1:10">
      <c r="A34" s="28"/>
      <c r="B34" s="29"/>
      <c r="C34" s="29"/>
      <c r="D34" s="73"/>
      <c r="E34" s="29"/>
      <c r="F34" s="71"/>
      <c r="G34" s="34" t="s">
        <v>70</v>
      </c>
      <c r="H34" s="34">
        <f>10001*5</f>
        <v>50005</v>
      </c>
      <c r="I34" s="34">
        <v>0.042</v>
      </c>
      <c r="J34" s="34">
        <f t="shared" si="2"/>
        <v>2100.21</v>
      </c>
    </row>
    <row r="35" ht="16.5" spans="1:10">
      <c r="A35" s="28">
        <v>45730</v>
      </c>
      <c r="B35" s="29" t="s">
        <v>222</v>
      </c>
      <c r="C35" s="29" t="s">
        <v>223</v>
      </c>
      <c r="D35" s="73" t="s">
        <v>224</v>
      </c>
      <c r="E35" s="29" t="s">
        <v>225</v>
      </c>
      <c r="F35" s="67" t="s">
        <v>226</v>
      </c>
      <c r="G35" s="35" t="s">
        <v>227</v>
      </c>
      <c r="H35" s="74">
        <f>32000*1.02</f>
        <v>32640</v>
      </c>
      <c r="I35" s="68">
        <v>1.07</v>
      </c>
      <c r="J35" s="68">
        <f t="shared" si="2"/>
        <v>34924.8</v>
      </c>
    </row>
    <row r="36" ht="16.5" spans="1:10">
      <c r="A36" s="28"/>
      <c r="B36" s="29"/>
      <c r="C36" s="29"/>
      <c r="D36" s="73"/>
      <c r="E36" s="29"/>
      <c r="F36" s="70"/>
      <c r="G36" s="35" t="s">
        <v>69</v>
      </c>
      <c r="H36" s="74">
        <v>320</v>
      </c>
      <c r="I36" s="68">
        <v>0</v>
      </c>
      <c r="J36" s="68">
        <f t="shared" si="2"/>
        <v>0</v>
      </c>
    </row>
    <row r="37" ht="16.5" spans="1:10">
      <c r="A37" s="28"/>
      <c r="B37" s="29"/>
      <c r="C37" s="29"/>
      <c r="D37" s="73"/>
      <c r="E37" s="29"/>
      <c r="F37" s="70"/>
      <c r="G37" s="29" t="s">
        <v>102</v>
      </c>
      <c r="H37" s="74">
        <f>2*5*5+5</f>
        <v>55</v>
      </c>
      <c r="I37" s="68">
        <v>0</v>
      </c>
      <c r="J37" s="68">
        <f t="shared" si="2"/>
        <v>0</v>
      </c>
    </row>
    <row r="38" ht="16.5" spans="1:10">
      <c r="A38" s="28"/>
      <c r="B38" s="29"/>
      <c r="C38" s="29"/>
      <c r="D38" s="73"/>
      <c r="E38" s="29"/>
      <c r="F38" s="70"/>
      <c r="G38" s="35" t="s">
        <v>87</v>
      </c>
      <c r="H38" s="74">
        <f>8000+8000+8000+8000</f>
        <v>32000</v>
      </c>
      <c r="I38" s="34">
        <v>0.28</v>
      </c>
      <c r="J38" s="68">
        <f t="shared" si="2"/>
        <v>8960</v>
      </c>
    </row>
    <row r="39" ht="16.5" spans="1:10">
      <c r="A39" s="28"/>
      <c r="B39" s="29"/>
      <c r="C39" s="29"/>
      <c r="D39" s="73"/>
      <c r="E39" s="29"/>
      <c r="F39" s="70"/>
      <c r="G39" s="34" t="s">
        <v>22</v>
      </c>
      <c r="H39" s="74">
        <f>8000+8000+8000+8000</f>
        <v>32000</v>
      </c>
      <c r="I39" s="34">
        <v>0.11</v>
      </c>
      <c r="J39" s="68">
        <f t="shared" si="2"/>
        <v>3520</v>
      </c>
    </row>
    <row r="40" ht="16.5" spans="1:10">
      <c r="A40" s="28"/>
      <c r="B40" s="29"/>
      <c r="C40" s="29"/>
      <c r="D40" s="73"/>
      <c r="E40" s="29"/>
      <c r="F40" s="71"/>
      <c r="G40" s="34" t="s">
        <v>122</v>
      </c>
      <c r="H40" s="34">
        <f>32000*4</f>
        <v>128000</v>
      </c>
      <c r="I40" s="34">
        <v>0.042</v>
      </c>
      <c r="J40" s="34">
        <f t="shared" si="2"/>
        <v>5376</v>
      </c>
    </row>
    <row r="41" ht="16.5" spans="1:10">
      <c r="A41" s="28">
        <v>45733</v>
      </c>
      <c r="B41" s="29" t="s">
        <v>39</v>
      </c>
      <c r="C41" s="29" t="s">
        <v>43</v>
      </c>
      <c r="D41" s="73" t="s">
        <v>257</v>
      </c>
      <c r="E41" s="29" t="s">
        <v>258</v>
      </c>
      <c r="F41" s="67" t="s">
        <v>253</v>
      </c>
      <c r="G41" s="35" t="s">
        <v>259</v>
      </c>
      <c r="H41" s="74">
        <f>1414+2424+2929+2121+1212</f>
        <v>10100</v>
      </c>
      <c r="I41" s="68">
        <v>1.07</v>
      </c>
      <c r="J41" s="68">
        <f t="shared" si="2"/>
        <v>10807</v>
      </c>
    </row>
    <row r="42" ht="16.5" spans="1:10">
      <c r="A42" s="28"/>
      <c r="B42" s="29"/>
      <c r="C42" s="29"/>
      <c r="D42" s="73"/>
      <c r="E42" s="29"/>
      <c r="F42" s="70"/>
      <c r="G42" s="35" t="s">
        <v>69</v>
      </c>
      <c r="H42" s="74">
        <f>10000*0.01</f>
        <v>100</v>
      </c>
      <c r="I42" s="68">
        <v>0</v>
      </c>
      <c r="J42" s="68">
        <v>0</v>
      </c>
    </row>
    <row r="43" ht="16.5" spans="1:10">
      <c r="A43" s="28"/>
      <c r="B43" s="29"/>
      <c r="C43" s="29"/>
      <c r="D43" s="73"/>
      <c r="E43" s="29"/>
      <c r="F43" s="70"/>
      <c r="G43" s="35" t="s">
        <v>260</v>
      </c>
      <c r="H43" s="74">
        <f>1442+2472+2987+2163+1236-10100</f>
        <v>200</v>
      </c>
      <c r="I43" s="68">
        <v>1.07</v>
      </c>
      <c r="J43" s="68">
        <f t="shared" ref="J43:J74" si="3">H43*I43</f>
        <v>214</v>
      </c>
    </row>
    <row r="44" ht="16.5" spans="1:10">
      <c r="A44" s="28"/>
      <c r="B44" s="29"/>
      <c r="C44" s="29"/>
      <c r="D44" s="73"/>
      <c r="E44" s="29"/>
      <c r="F44" s="70"/>
      <c r="G44" s="35" t="s">
        <v>87</v>
      </c>
      <c r="H44" s="35">
        <f>840+1440+1740+1260+720+560+960+1160+840+480</f>
        <v>10000</v>
      </c>
      <c r="I44" s="34">
        <v>0.28</v>
      </c>
      <c r="J44" s="34">
        <f t="shared" si="3"/>
        <v>2800</v>
      </c>
    </row>
    <row r="45" ht="16.5" spans="1:10">
      <c r="A45" s="28"/>
      <c r="B45" s="29"/>
      <c r="C45" s="29"/>
      <c r="D45" s="73"/>
      <c r="E45" s="29"/>
      <c r="F45" s="70"/>
      <c r="G45" s="34" t="s">
        <v>22</v>
      </c>
      <c r="H45" s="35">
        <f>1400+2400+2900+2100+1200</f>
        <v>10000</v>
      </c>
      <c r="I45" s="34">
        <v>0.11</v>
      </c>
      <c r="J45" s="34">
        <f t="shared" si="3"/>
        <v>1100</v>
      </c>
    </row>
    <row r="46" ht="16.5" spans="1:10">
      <c r="A46" s="28"/>
      <c r="B46" s="29"/>
      <c r="C46" s="29"/>
      <c r="D46" s="73"/>
      <c r="E46" s="29"/>
      <c r="F46" s="71"/>
      <c r="G46" s="34" t="s">
        <v>70</v>
      </c>
      <c r="H46" s="34">
        <f>10000*5</f>
        <v>50000</v>
      </c>
      <c r="I46" s="34">
        <v>0.042</v>
      </c>
      <c r="J46" s="34">
        <f t="shared" si="3"/>
        <v>2100</v>
      </c>
    </row>
    <row r="47" ht="16.5" spans="1:10">
      <c r="A47" s="28">
        <v>45734</v>
      </c>
      <c r="B47" s="29" t="s">
        <v>39</v>
      </c>
      <c r="C47" s="29" t="s">
        <v>261</v>
      </c>
      <c r="D47" s="73" t="s">
        <v>262</v>
      </c>
      <c r="E47" s="29" t="s">
        <v>263</v>
      </c>
      <c r="F47" s="67" t="s">
        <v>253</v>
      </c>
      <c r="G47" s="35" t="s">
        <v>78</v>
      </c>
      <c r="H47" s="75">
        <v>9283</v>
      </c>
      <c r="I47" s="68">
        <v>1.07</v>
      </c>
      <c r="J47" s="68">
        <f t="shared" si="3"/>
        <v>9932.81</v>
      </c>
    </row>
    <row r="48" ht="16.5" spans="1:10">
      <c r="A48" s="28"/>
      <c r="B48" s="29"/>
      <c r="C48" s="29"/>
      <c r="D48" s="73"/>
      <c r="E48" s="29"/>
      <c r="F48" s="70"/>
      <c r="G48" s="35" t="s">
        <v>69</v>
      </c>
      <c r="H48" s="74">
        <v>90</v>
      </c>
      <c r="I48" s="68">
        <v>0</v>
      </c>
      <c r="J48" s="68">
        <f t="shared" si="3"/>
        <v>0</v>
      </c>
    </row>
    <row r="49" ht="16.5" spans="1:10">
      <c r="A49" s="28"/>
      <c r="B49" s="29"/>
      <c r="C49" s="29"/>
      <c r="D49" s="73"/>
      <c r="E49" s="29"/>
      <c r="F49" s="70"/>
      <c r="G49" s="29" t="s">
        <v>102</v>
      </c>
      <c r="H49" s="74">
        <f>4*5+5</f>
        <v>25</v>
      </c>
      <c r="I49" s="68">
        <v>0</v>
      </c>
      <c r="J49" s="68">
        <f t="shared" si="3"/>
        <v>0</v>
      </c>
    </row>
    <row r="50" ht="16.5" spans="1:10">
      <c r="A50" s="28"/>
      <c r="B50" s="29"/>
      <c r="C50" s="29"/>
      <c r="D50" s="73"/>
      <c r="E50" s="29"/>
      <c r="F50" s="70"/>
      <c r="G50" s="35" t="s">
        <v>87</v>
      </c>
      <c r="H50" s="74">
        <f>3000+3000+3000+13</f>
        <v>9013</v>
      </c>
      <c r="I50" s="34">
        <v>0.28</v>
      </c>
      <c r="J50" s="68">
        <f t="shared" si="3"/>
        <v>2523.64</v>
      </c>
    </row>
    <row r="51" ht="16.5" spans="1:10">
      <c r="A51" s="28"/>
      <c r="B51" s="29"/>
      <c r="C51" s="29"/>
      <c r="D51" s="73"/>
      <c r="E51" s="29"/>
      <c r="F51" s="70"/>
      <c r="G51" s="34" t="s">
        <v>22</v>
      </c>
      <c r="H51" s="74">
        <f>3000+3000+3000+13</f>
        <v>9013</v>
      </c>
      <c r="I51" s="34">
        <v>0.11</v>
      </c>
      <c r="J51" s="68">
        <f t="shared" si="3"/>
        <v>991.43</v>
      </c>
    </row>
    <row r="52" ht="16.5" spans="1:10">
      <c r="A52" s="28"/>
      <c r="B52" s="29"/>
      <c r="C52" s="29"/>
      <c r="D52" s="73"/>
      <c r="E52" s="29"/>
      <c r="F52" s="71"/>
      <c r="G52" s="34" t="s">
        <v>70</v>
      </c>
      <c r="H52" s="34">
        <f>9013*5</f>
        <v>45065</v>
      </c>
      <c r="I52" s="34">
        <v>0.042</v>
      </c>
      <c r="J52" s="34">
        <f t="shared" si="3"/>
        <v>1892.73</v>
      </c>
    </row>
    <row r="53" ht="16.5" spans="1:10">
      <c r="A53" s="28">
        <v>45738</v>
      </c>
      <c r="B53" s="29" t="s">
        <v>39</v>
      </c>
      <c r="C53" s="29" t="s">
        <v>264</v>
      </c>
      <c r="D53" s="73" t="s">
        <v>265</v>
      </c>
      <c r="E53" s="29" t="s">
        <v>266</v>
      </c>
      <c r="F53" s="67" t="s">
        <v>253</v>
      </c>
      <c r="G53" s="35" t="s">
        <v>78</v>
      </c>
      <c r="H53" s="68">
        <f>999+2338+4573+3203+1246</f>
        <v>12359</v>
      </c>
      <c r="I53" s="68">
        <v>1.07</v>
      </c>
      <c r="J53" s="68">
        <f t="shared" si="3"/>
        <v>13224.13</v>
      </c>
    </row>
    <row r="54" ht="16.5" spans="1:10">
      <c r="A54" s="28"/>
      <c r="B54" s="29"/>
      <c r="C54" s="29"/>
      <c r="D54" s="73"/>
      <c r="E54" s="29"/>
      <c r="F54" s="70"/>
      <c r="G54" s="35" t="s">
        <v>69</v>
      </c>
      <c r="H54" s="68">
        <f>12000*0.01</f>
        <v>120</v>
      </c>
      <c r="I54" s="68">
        <v>0</v>
      </c>
      <c r="J54" s="68">
        <f t="shared" si="3"/>
        <v>0</v>
      </c>
    </row>
    <row r="55" ht="16.5" spans="1:10">
      <c r="A55" s="28"/>
      <c r="B55" s="29"/>
      <c r="C55" s="29"/>
      <c r="D55" s="73"/>
      <c r="E55" s="29"/>
      <c r="F55" s="70"/>
      <c r="G55" s="35" t="s">
        <v>87</v>
      </c>
      <c r="H55" s="34">
        <v>2900</v>
      </c>
      <c r="I55" s="34">
        <v>0.28</v>
      </c>
      <c r="J55" s="68">
        <f t="shared" si="3"/>
        <v>812</v>
      </c>
    </row>
    <row r="56" ht="16.5" spans="1:10">
      <c r="A56" s="28"/>
      <c r="B56" s="29"/>
      <c r="C56" s="29"/>
      <c r="D56" s="73"/>
      <c r="E56" s="29"/>
      <c r="F56" s="70"/>
      <c r="G56" s="34" t="s">
        <v>22</v>
      </c>
      <c r="H56" s="34">
        <f>2900+2000</f>
        <v>4900</v>
      </c>
      <c r="I56" s="34">
        <v>0.11</v>
      </c>
      <c r="J56" s="68">
        <f t="shared" si="3"/>
        <v>539</v>
      </c>
    </row>
    <row r="57" ht="16.5" spans="1:10">
      <c r="A57" s="28"/>
      <c r="B57" s="29"/>
      <c r="C57" s="29"/>
      <c r="D57" s="73"/>
      <c r="E57" s="29"/>
      <c r="F57" s="70"/>
      <c r="G57" s="35" t="s">
        <v>249</v>
      </c>
      <c r="H57" s="34">
        <v>2000</v>
      </c>
      <c r="I57" s="34">
        <v>0.24</v>
      </c>
      <c r="J57" s="68">
        <f t="shared" si="3"/>
        <v>480</v>
      </c>
    </row>
    <row r="58" ht="16.5" spans="1:10">
      <c r="A58" s="28"/>
      <c r="B58" s="29"/>
      <c r="C58" s="29"/>
      <c r="D58" s="73"/>
      <c r="E58" s="29"/>
      <c r="F58" s="71"/>
      <c r="G58" s="34" t="s">
        <v>70</v>
      </c>
      <c r="H58" s="34">
        <f>12000*5</f>
        <v>60000</v>
      </c>
      <c r="I58" s="34">
        <v>0.042</v>
      </c>
      <c r="J58" s="34">
        <f t="shared" si="3"/>
        <v>2520</v>
      </c>
    </row>
    <row r="59" ht="16.5" spans="1:10">
      <c r="A59" s="28">
        <v>45742</v>
      </c>
      <c r="B59" s="29" t="s">
        <v>267</v>
      </c>
      <c r="C59" s="29" t="s">
        <v>228</v>
      </c>
      <c r="D59" s="73" t="s">
        <v>229</v>
      </c>
      <c r="E59" s="29" t="s">
        <v>230</v>
      </c>
      <c r="F59" s="76" t="s">
        <v>231</v>
      </c>
      <c r="G59" s="35" t="s">
        <v>68</v>
      </c>
      <c r="H59" s="35">
        <v>8000</v>
      </c>
      <c r="I59" s="35">
        <v>1.07</v>
      </c>
      <c r="J59" s="35">
        <f t="shared" si="3"/>
        <v>8560</v>
      </c>
    </row>
    <row r="60" ht="16.5" spans="1:10">
      <c r="A60" s="28"/>
      <c r="B60" s="29"/>
      <c r="C60" s="29"/>
      <c r="D60" s="73"/>
      <c r="E60" s="29"/>
      <c r="F60" s="76"/>
      <c r="G60" s="35" t="s">
        <v>69</v>
      </c>
      <c r="H60" s="35">
        <f>H59*0.01</f>
        <v>80</v>
      </c>
      <c r="I60" s="35">
        <v>0</v>
      </c>
      <c r="J60" s="35">
        <f t="shared" si="3"/>
        <v>0</v>
      </c>
    </row>
    <row r="61" ht="16.5" spans="1:10">
      <c r="A61" s="28"/>
      <c r="B61" s="29"/>
      <c r="C61" s="29"/>
      <c r="D61" s="73"/>
      <c r="E61" s="29"/>
      <c r="F61" s="76"/>
      <c r="G61" s="35" t="s">
        <v>87</v>
      </c>
      <c r="H61" s="35">
        <v>8000</v>
      </c>
      <c r="I61" s="35">
        <v>0.28</v>
      </c>
      <c r="J61" s="35">
        <f t="shared" si="3"/>
        <v>2240</v>
      </c>
    </row>
    <row r="62" ht="16.5" spans="1:10">
      <c r="A62" s="28"/>
      <c r="B62" s="29"/>
      <c r="C62" s="29"/>
      <c r="D62" s="73"/>
      <c r="E62" s="29"/>
      <c r="F62" s="76"/>
      <c r="G62" s="35" t="s">
        <v>22</v>
      </c>
      <c r="H62" s="35">
        <v>8000</v>
      </c>
      <c r="I62" s="35">
        <v>0.11</v>
      </c>
      <c r="J62" s="35">
        <f t="shared" si="3"/>
        <v>880</v>
      </c>
    </row>
    <row r="63" ht="16.5" spans="1:10">
      <c r="A63" s="28"/>
      <c r="B63" s="29"/>
      <c r="C63" s="29"/>
      <c r="D63" s="73"/>
      <c r="E63" s="29"/>
      <c r="F63" s="76"/>
      <c r="G63" s="35" t="s">
        <v>122</v>
      </c>
      <c r="H63" s="35">
        <f>8000*4</f>
        <v>32000</v>
      </c>
      <c r="I63" s="35">
        <v>0.042</v>
      </c>
      <c r="J63" s="35">
        <f t="shared" si="3"/>
        <v>1344</v>
      </c>
    </row>
    <row r="64" ht="16.5" spans="1:10">
      <c r="A64" s="28"/>
      <c r="B64" s="29"/>
      <c r="C64" s="29"/>
      <c r="D64" s="73"/>
      <c r="E64" s="29"/>
      <c r="F64" s="76"/>
      <c r="G64" s="35" t="s">
        <v>68</v>
      </c>
      <c r="H64" s="35">
        <v>5000</v>
      </c>
      <c r="I64" s="35">
        <v>1.07</v>
      </c>
      <c r="J64" s="35">
        <f t="shared" si="3"/>
        <v>5350</v>
      </c>
    </row>
    <row r="65" ht="16.5" spans="1:10">
      <c r="A65" s="28"/>
      <c r="B65" s="29"/>
      <c r="C65" s="29"/>
      <c r="D65" s="73"/>
      <c r="E65" s="29"/>
      <c r="F65" s="76"/>
      <c r="G65" s="35" t="s">
        <v>69</v>
      </c>
      <c r="H65" s="35">
        <f>H64*0.01</f>
        <v>50</v>
      </c>
      <c r="I65" s="35">
        <v>0</v>
      </c>
      <c r="J65" s="35">
        <f t="shared" si="3"/>
        <v>0</v>
      </c>
    </row>
    <row r="66" ht="16.5" spans="1:10">
      <c r="A66" s="28"/>
      <c r="B66" s="29"/>
      <c r="C66" s="29"/>
      <c r="D66" s="73"/>
      <c r="E66" s="29"/>
      <c r="F66" s="76"/>
      <c r="G66" s="35" t="s">
        <v>87</v>
      </c>
      <c r="H66" s="35">
        <v>5000</v>
      </c>
      <c r="I66" s="35">
        <v>0.28</v>
      </c>
      <c r="J66" s="35">
        <f t="shared" si="3"/>
        <v>1400</v>
      </c>
    </row>
    <row r="67" ht="16.5" spans="1:10">
      <c r="A67" s="28"/>
      <c r="B67" s="29"/>
      <c r="C67" s="29"/>
      <c r="D67" s="73"/>
      <c r="E67" s="29"/>
      <c r="F67" s="76"/>
      <c r="G67" s="35" t="s">
        <v>22</v>
      </c>
      <c r="H67" s="35">
        <v>5000</v>
      </c>
      <c r="I67" s="35">
        <v>0.11</v>
      </c>
      <c r="J67" s="35">
        <f t="shared" si="3"/>
        <v>550</v>
      </c>
    </row>
    <row r="68" ht="16.5" spans="1:10">
      <c r="A68" s="28"/>
      <c r="B68" s="29"/>
      <c r="C68" s="29"/>
      <c r="D68" s="73"/>
      <c r="E68" s="29"/>
      <c r="F68" s="76"/>
      <c r="G68" s="35" t="s">
        <v>122</v>
      </c>
      <c r="H68" s="35">
        <f>5000*4</f>
        <v>20000</v>
      </c>
      <c r="I68" s="35">
        <v>0.042</v>
      </c>
      <c r="J68" s="35">
        <f t="shared" si="3"/>
        <v>840</v>
      </c>
    </row>
    <row r="69" ht="16.5" spans="1:10">
      <c r="A69" s="28"/>
      <c r="B69" s="29"/>
      <c r="C69" s="29"/>
      <c r="D69" s="73"/>
      <c r="E69" s="29"/>
      <c r="F69" s="76"/>
      <c r="G69" s="35" t="s">
        <v>232</v>
      </c>
      <c r="H69" s="35">
        <v>43260</v>
      </c>
      <c r="I69" s="35">
        <v>0.33</v>
      </c>
      <c r="J69" s="35">
        <f t="shared" si="3"/>
        <v>14275.8</v>
      </c>
    </row>
    <row r="70" ht="16.5" spans="1:10">
      <c r="A70" s="28">
        <v>45761</v>
      </c>
      <c r="B70" s="29" t="s">
        <v>267</v>
      </c>
      <c r="C70" s="29" t="s">
        <v>268</v>
      </c>
      <c r="D70" s="73" t="s">
        <v>269</v>
      </c>
      <c r="E70" s="29" t="s">
        <v>270</v>
      </c>
      <c r="F70" s="67" t="s">
        <v>271</v>
      </c>
      <c r="G70" s="34" t="s">
        <v>22</v>
      </c>
      <c r="H70" s="77">
        <f>38000*0.01</f>
        <v>380</v>
      </c>
      <c r="I70" s="34">
        <v>0.11</v>
      </c>
      <c r="J70" s="34">
        <f t="shared" si="3"/>
        <v>41.8</v>
      </c>
    </row>
    <row r="71" ht="16.5" spans="1:10">
      <c r="A71" s="28"/>
      <c r="B71" s="29"/>
      <c r="C71" s="29"/>
      <c r="D71" s="73"/>
      <c r="E71" s="29"/>
      <c r="F71" s="70"/>
      <c r="G71" s="35" t="s">
        <v>272</v>
      </c>
      <c r="H71" s="77">
        <f>38000*0.01*4</f>
        <v>1520</v>
      </c>
      <c r="I71" s="34">
        <v>0.042</v>
      </c>
      <c r="J71" s="34">
        <f t="shared" si="3"/>
        <v>63.84</v>
      </c>
    </row>
    <row r="72" ht="16.5" spans="1:10">
      <c r="A72" s="28"/>
      <c r="B72" s="29"/>
      <c r="C72" s="29"/>
      <c r="D72" s="73"/>
      <c r="E72" s="29"/>
      <c r="F72" s="70"/>
      <c r="G72" s="34" t="s">
        <v>273</v>
      </c>
      <c r="H72" s="77">
        <v>1935</v>
      </c>
      <c r="I72" s="34">
        <v>0.85</v>
      </c>
      <c r="J72" s="34">
        <f t="shared" si="3"/>
        <v>1644.75</v>
      </c>
    </row>
    <row r="73" ht="16.5" spans="1:10">
      <c r="A73" s="28"/>
      <c r="B73" s="29"/>
      <c r="C73" s="29"/>
      <c r="D73" s="73"/>
      <c r="E73" s="29"/>
      <c r="F73" s="70"/>
      <c r="G73" s="34" t="s">
        <v>274</v>
      </c>
      <c r="H73" s="35">
        <v>19</v>
      </c>
      <c r="I73" s="34">
        <v>0</v>
      </c>
      <c r="J73" s="34">
        <f t="shared" si="3"/>
        <v>0</v>
      </c>
    </row>
    <row r="74" ht="16.5" spans="1:10">
      <c r="A74" s="28"/>
      <c r="B74" s="29"/>
      <c r="C74" s="29"/>
      <c r="D74" s="73"/>
      <c r="E74" s="29"/>
      <c r="F74" s="71"/>
      <c r="G74" s="35" t="s">
        <v>133</v>
      </c>
      <c r="H74" s="77">
        <f>48+105+135+90+45</f>
        <v>423</v>
      </c>
      <c r="I74" s="34">
        <v>0.15</v>
      </c>
      <c r="J74" s="34">
        <f t="shared" si="3"/>
        <v>63.45</v>
      </c>
    </row>
    <row r="75" ht="16.5" spans="1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1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s="1" customFormat="1" ht="16.5" spans="1:11">
      <c r="A3" s="44">
        <v>45642</v>
      </c>
      <c r="B3" s="34" t="s">
        <v>275</v>
      </c>
      <c r="C3" s="29">
        <v>17476</v>
      </c>
      <c r="D3" s="45" t="s">
        <v>276</v>
      </c>
      <c r="E3" s="46" t="s">
        <v>277</v>
      </c>
      <c r="F3" s="47" t="s">
        <v>278</v>
      </c>
      <c r="G3" s="35" t="s">
        <v>279</v>
      </c>
      <c r="H3" s="35">
        <v>5400</v>
      </c>
      <c r="I3" s="48">
        <v>0.195</v>
      </c>
      <c r="J3" s="35">
        <f>H3*I3</f>
        <v>1053</v>
      </c>
      <c r="K3" s="36"/>
    </row>
    <row r="4" s="1" customFormat="1" ht="16.5" spans="1:11">
      <c r="A4" s="40"/>
      <c r="B4"/>
      <c r="C4" s="24"/>
      <c r="D4"/>
      <c r="E4" s="41"/>
      <c r="F4" s="42"/>
      <c r="G4"/>
      <c r="H4"/>
      <c r="I4" s="43" t="s">
        <v>49</v>
      </c>
      <c r="J4" s="43">
        <f>SUM(J3:J3)</f>
        <v>1053</v>
      </c>
    </row>
    <row r="5" spans="1:11">
      <c r="A5" s="41"/>
      <c r="F5" s="36"/>
    </row>
    <row r="7" ht="28.5" spans="1:11">
      <c r="A7" s="49" t="s">
        <v>280</v>
      </c>
      <c r="B7" s="49"/>
      <c r="C7" s="49"/>
      <c r="D7" s="49"/>
      <c r="E7" s="49"/>
      <c r="F7" s="49"/>
      <c r="G7" s="49"/>
      <c r="H7" s="49"/>
      <c r="I7" s="49"/>
      <c r="J7" s="49"/>
    </row>
    <row r="8" ht="14.5" spans="1:11">
      <c r="A8" s="50" t="s">
        <v>281</v>
      </c>
      <c r="B8" s="50" t="s">
        <v>282</v>
      </c>
      <c r="C8" s="50" t="s">
        <v>283</v>
      </c>
      <c r="D8" s="50" t="s">
        <v>284</v>
      </c>
      <c r="E8" s="50" t="s">
        <v>285</v>
      </c>
      <c r="F8" s="51" t="s">
        <v>286</v>
      </c>
      <c r="G8" s="50" t="s">
        <v>287</v>
      </c>
      <c r="H8" s="50" t="s">
        <v>288</v>
      </c>
      <c r="I8" s="50" t="s">
        <v>289</v>
      </c>
      <c r="J8" s="50" t="s">
        <v>290</v>
      </c>
    </row>
    <row r="9" ht="28.5" spans="1:11">
      <c r="A9" s="50"/>
      <c r="B9" s="50"/>
      <c r="C9" s="50"/>
      <c r="D9" s="50" t="s">
        <v>291</v>
      </c>
      <c r="E9" s="50"/>
      <c r="F9" s="51" t="s">
        <v>292</v>
      </c>
      <c r="G9" s="50"/>
      <c r="H9" s="50"/>
      <c r="I9" s="52" t="s">
        <v>293</v>
      </c>
      <c r="J9" s="50"/>
    </row>
    <row r="10" ht="28" spans="1:11">
      <c r="A10" s="52">
        <v>1</v>
      </c>
      <c r="B10" s="53">
        <v>45747</v>
      </c>
      <c r="C10" s="50" t="s">
        <v>294</v>
      </c>
      <c r="D10" s="50" t="s">
        <v>295</v>
      </c>
      <c r="E10" s="50" t="s">
        <v>296</v>
      </c>
      <c r="F10" s="50" t="s">
        <v>297</v>
      </c>
      <c r="G10" s="50" t="s">
        <v>298</v>
      </c>
      <c r="H10" s="50">
        <v>5400</v>
      </c>
      <c r="I10" s="54">
        <v>1053</v>
      </c>
      <c r="J10" s="50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55</v>
      </c>
    </row>
    <row r="3" s="1" customFormat="1" ht="16.5" spans="1:11">
      <c r="A3" s="28">
        <v>45700</v>
      </c>
      <c r="B3" s="29" t="s">
        <v>39</v>
      </c>
      <c r="C3" s="29" t="s">
        <v>238</v>
      </c>
      <c r="D3" s="30" t="s">
        <v>239</v>
      </c>
      <c r="E3" s="29" t="s">
        <v>240</v>
      </c>
      <c r="F3" s="31" t="s">
        <v>241</v>
      </c>
      <c r="G3" s="32" t="s">
        <v>78</v>
      </c>
      <c r="H3" s="33">
        <v>8782</v>
      </c>
      <c r="I3" s="34">
        <v>1.07</v>
      </c>
      <c r="J3" s="35">
        <f>H3*I3</f>
        <v>9396.74</v>
      </c>
      <c r="K3" s="36"/>
    </row>
    <row r="4" s="1" customFormat="1" ht="16.5" spans="1:11">
      <c r="A4" s="28"/>
      <c r="B4" s="29"/>
      <c r="C4" s="29"/>
      <c r="D4" s="30"/>
      <c r="E4" s="29"/>
      <c r="F4" s="37"/>
      <c r="G4" s="32" t="s">
        <v>69</v>
      </c>
      <c r="H4" s="33">
        <f>H6*0.01</f>
        <v>85.26</v>
      </c>
      <c r="I4" s="34">
        <v>0</v>
      </c>
      <c r="J4" s="35">
        <f>H4*I4</f>
        <v>0</v>
      </c>
      <c r="K4" s="36"/>
    </row>
    <row r="5" s="1" customFormat="1" ht="16.5" spans="1:11">
      <c r="A5" s="28"/>
      <c r="B5" s="29"/>
      <c r="C5" s="29"/>
      <c r="D5" s="30"/>
      <c r="E5" s="29"/>
      <c r="F5" s="38"/>
      <c r="G5" s="32" t="s">
        <v>242</v>
      </c>
      <c r="H5" s="33">
        <f>20+5+5</f>
        <v>30</v>
      </c>
      <c r="I5" s="34">
        <v>0</v>
      </c>
      <c r="J5" s="35">
        <f>H5*I5</f>
        <v>0</v>
      </c>
      <c r="K5" s="36"/>
    </row>
    <row r="6" s="1" customFormat="1" ht="16.5" spans="1:11">
      <c r="A6" s="28"/>
      <c r="B6" s="29"/>
      <c r="C6" s="29"/>
      <c r="D6" s="30"/>
      <c r="E6" s="29"/>
      <c r="F6" s="39" t="s">
        <v>243</v>
      </c>
      <c r="G6" s="32" t="s">
        <v>87</v>
      </c>
      <c r="H6" s="34">
        <f>3500+2500+2500+26</f>
        <v>8526</v>
      </c>
      <c r="I6" s="34">
        <v>0.28</v>
      </c>
      <c r="J6" s="35">
        <f>H6*I6</f>
        <v>2387.28</v>
      </c>
      <c r="K6" s="36"/>
    </row>
    <row r="7" s="1" customFormat="1" ht="16.5" spans="1:11">
      <c r="A7" s="28"/>
      <c r="B7" s="29"/>
      <c r="C7" s="29"/>
      <c r="D7" s="30"/>
      <c r="E7" s="29"/>
      <c r="F7" s="39" t="s">
        <v>243</v>
      </c>
      <c r="G7" s="32" t="s">
        <v>244</v>
      </c>
      <c r="H7" s="34">
        <f>250+175</f>
        <v>425</v>
      </c>
      <c r="I7" s="34">
        <v>0.042</v>
      </c>
      <c r="J7" s="35">
        <f>H7*I7</f>
        <v>17.85</v>
      </c>
      <c r="K7" s="36"/>
    </row>
    <row r="8" s="1" customFormat="1" ht="16.5" spans="1:11">
      <c r="A8" s="40"/>
      <c r="B8"/>
      <c r="C8" s="24"/>
      <c r="D8"/>
      <c r="E8" s="41"/>
      <c r="F8" s="42"/>
      <c r="G8"/>
      <c r="H8"/>
      <c r="I8" s="43" t="s">
        <v>49</v>
      </c>
      <c r="J8" s="43">
        <f>SUM(J3:J7)</f>
        <v>11801.87</v>
      </c>
      <c r="K8"/>
    </row>
    <row r="9" spans="1:11">
      <c r="A9" s="41"/>
      <c r="F9" s="36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299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300</v>
      </c>
      <c r="B2" s="5" t="s">
        <v>301</v>
      </c>
      <c r="C2" s="5" t="s">
        <v>302</v>
      </c>
      <c r="D2" s="6" t="s">
        <v>4</v>
      </c>
      <c r="E2" s="5" t="s">
        <v>303</v>
      </c>
      <c r="F2" s="7" t="s">
        <v>304</v>
      </c>
      <c r="G2" s="8" t="s">
        <v>305</v>
      </c>
      <c r="H2" s="9" t="s">
        <v>306</v>
      </c>
      <c r="I2" s="10" t="s">
        <v>55</v>
      </c>
    </row>
    <row r="3" s="1" customFormat="1" ht="16" customHeight="1" spans="1:9">
      <c r="A3" s="11">
        <v>45404</v>
      </c>
      <c r="B3" s="12" t="s">
        <v>15</v>
      </c>
      <c r="C3" s="13" t="s">
        <v>307</v>
      </c>
      <c r="D3" s="14" t="s">
        <v>308</v>
      </c>
      <c r="E3" s="13" t="s">
        <v>309</v>
      </c>
      <c r="F3" s="15" t="s">
        <v>310</v>
      </c>
      <c r="G3" s="15">
        <v>32500</v>
      </c>
      <c r="H3" s="15">
        <v>0.13</v>
      </c>
      <c r="I3" s="15">
        <f t="shared" ref="I3:I9" si="0">G3*H3</f>
        <v>4225</v>
      </c>
    </row>
    <row r="4" s="1" customFormat="1" ht="16" customHeight="1" spans="1:9">
      <c r="A4" s="16"/>
      <c r="B4" s="17"/>
      <c r="C4" s="18"/>
      <c r="D4" s="19"/>
      <c r="E4" s="18"/>
      <c r="F4" s="15" t="s">
        <v>311</v>
      </c>
      <c r="G4" s="15">
        <f>G3*4</f>
        <v>130000</v>
      </c>
      <c r="H4" s="15">
        <v>0.042</v>
      </c>
      <c r="I4" s="15">
        <f t="shared" si="0"/>
        <v>5460</v>
      </c>
    </row>
    <row r="5" s="1" customFormat="1" ht="16" customHeight="1" spans="1:9">
      <c r="A5" s="16"/>
      <c r="B5" s="17"/>
      <c r="C5" s="18"/>
      <c r="D5" s="19"/>
      <c r="E5" s="18"/>
      <c r="F5" s="20" t="s">
        <v>312</v>
      </c>
      <c r="G5" s="20">
        <v>32500</v>
      </c>
      <c r="H5" s="20">
        <v>0.03</v>
      </c>
      <c r="I5" s="20">
        <f t="shared" si="0"/>
        <v>975</v>
      </c>
    </row>
    <row r="6" s="1" customFormat="1" ht="16" customHeight="1" spans="1:9">
      <c r="A6" s="16"/>
      <c r="B6" s="17"/>
      <c r="C6" s="18"/>
      <c r="D6" s="19"/>
      <c r="E6" s="18"/>
      <c r="F6" s="20" t="s">
        <v>313</v>
      </c>
      <c r="G6" s="20">
        <v>32500</v>
      </c>
      <c r="H6" s="20">
        <v>0.25</v>
      </c>
      <c r="I6" s="20">
        <f t="shared" si="0"/>
        <v>8125</v>
      </c>
    </row>
    <row r="7" s="1" customFormat="1" ht="16" customHeight="1" spans="1:9">
      <c r="A7" s="16"/>
      <c r="B7" s="17"/>
      <c r="C7" s="18"/>
      <c r="D7" s="19"/>
      <c r="E7" s="18"/>
      <c r="F7" s="20" t="s">
        <v>21</v>
      </c>
      <c r="G7" s="20">
        <v>32500</v>
      </c>
      <c r="H7" s="20">
        <v>0.294</v>
      </c>
      <c r="I7" s="20">
        <f t="shared" si="0"/>
        <v>9555</v>
      </c>
    </row>
    <row r="8" s="1" customFormat="1" ht="16" customHeight="1" spans="1:9">
      <c r="A8" s="16"/>
      <c r="B8" s="17"/>
      <c r="C8" s="18"/>
      <c r="D8" s="19"/>
      <c r="E8" s="18"/>
      <c r="F8" s="20" t="s">
        <v>314</v>
      </c>
      <c r="G8" s="20">
        <v>32500</v>
      </c>
      <c r="H8" s="20">
        <v>0</v>
      </c>
      <c r="I8" s="20">
        <f t="shared" si="0"/>
        <v>0</v>
      </c>
    </row>
    <row r="9" s="1" customFormat="1" ht="16" customHeight="1" spans="1:9">
      <c r="A9" s="16"/>
      <c r="B9" s="17"/>
      <c r="C9" s="18"/>
      <c r="D9" s="19"/>
      <c r="E9" s="18"/>
      <c r="F9" s="20" t="s">
        <v>22</v>
      </c>
      <c r="G9" s="20">
        <v>32500</v>
      </c>
      <c r="H9" s="20">
        <v>0.116</v>
      </c>
      <c r="I9" s="20">
        <f t="shared" si="0"/>
        <v>3770</v>
      </c>
    </row>
    <row r="10" s="1" customFormat="1" ht="17.5" spans="1:9">
      <c r="A10" s="21" t="s">
        <v>49</v>
      </c>
      <c r="B10" s="21"/>
      <c r="C10" s="21"/>
      <c r="D10" s="21"/>
      <c r="E10" s="21"/>
      <c r="F10" s="21"/>
      <c r="G10" s="21"/>
      <c r="H10" s="21"/>
      <c r="I10" s="22">
        <f>SUM(I3:I9)</f>
        <v>32110</v>
      </c>
    </row>
    <row r="11" s="1" customFormat="1" ht="17.5" spans="1:9">
      <c r="A11" s="23"/>
      <c r="B11" s="23"/>
      <c r="C11" s="23"/>
      <c r="D11" s="23"/>
      <c r="E11" s="23"/>
      <c r="F11" s="23"/>
      <c r="G11" s="23"/>
      <c r="H11" s="23"/>
      <c r="I11" s="23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2024-5月-7月-已开票</vt:lpstr>
      <vt:lpstr>11月Adela-国内</vt:lpstr>
      <vt:lpstr>11月Adela-国内 (2)</vt:lpstr>
      <vt:lpstr>11月Adela-孟加拉</vt:lpstr>
      <vt:lpstr>4月Emily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2025-11-19T03:55:08Z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9FC80CDBB80E4365861A7F7A8B00CF15_13</vt:lpwstr>
  </property>
</Properties>
</file>