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8月Adela-国内" sheetId="20" r:id="rId2"/>
    <sheet name="8月Adela-孟加拉" sheetId="29" r:id="rId3"/>
    <sheet name="Sheet1" sheetId="30" r:id="rId4"/>
    <sheet name="4月Emily" sheetId="27" state="hidden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'8月Adela-国内'!$A$1:$J$92</definedName>
    <definedName name="_xlnm._FilterDatabase" localSheetId="2" hidden="1">'8月Adela-孟加拉'!$A$1:$J$21</definedName>
    <definedName name="_xlnm._FilterDatabase" localSheetId="4" hidden="1">'4月Emily'!$A$1:$J$20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<sst xmlns="http://schemas.openxmlformats.org/spreadsheetml/2006/main" count="651" uniqueCount="280">
  <si>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</si>
  <si>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</si>
  <si>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</si>
  <si>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</si>
  <si>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</si>
  <si>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</si>
  <si>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</si>
  <si>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</si>
  <si>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</si>
  <si>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</si>
  <si>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</si>
  <si>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</si>
  <si>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</si>
  <si>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</si>
  <si>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</si>
  <si>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</si>
  <si>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</si>
  <si>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</si>
  <si>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</si>
  <si>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</si>
  <si>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</si>
  <si>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</si>
  <si>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</si>
  <si>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</si>
  <si>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</si>
  <si>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</si>
  <si>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</si>
  <si>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</si>
  <si>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</si>
  <si>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</si>
  <si>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</si>
  <si>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</si>
  <si>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</si>
  <si>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</si>
  <si>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</si>
  <si>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</si>
  <si>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</si>
  <si>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</si>
  <si>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</si>
  <si>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</si>
  <si>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</si>
  <si>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</si>
  <si>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</si>
  <si>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</si>
  <si>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</si>
  <si>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</si>
  <si>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</si>
  <si>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</si>
  <si>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</si>
  <si>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</si>
  <si>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</si>
  <si>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</si>
  <si>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</si>
  <si>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</si>
  <si>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</si>
  <si>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RBSKNJTD015</t>
  </si>
  <si>
    <t>2025.1.23</t>
  </si>
  <si>
    <t>白色胶带洗标35*100mm</t>
  </si>
  <si>
    <t>报关单号</t>
  </si>
  <si>
    <t>80107
80109
79236</t>
  </si>
  <si>
    <t>RBSKNJTD045</t>
  </si>
  <si>
    <t>PINTA 3606-140-800
BANGLADESH 男上装 夹克 翻单1</t>
  </si>
  <si>
    <t>2025.5.29</t>
  </si>
  <si>
    <t>白色缎带洗标CLBCGEN003*2页-60*25mm（第1、2页）</t>
  </si>
  <si>
    <t>HZBT25023-C</t>
  </si>
  <si>
    <t>白色缎带洗标CLBCGEN003*3页-60*25mm（后3页）</t>
  </si>
  <si>
    <t>RBSKNJTD047</t>
  </si>
  <si>
    <t>PALOMA 6770-046-800
BANGLADESH 男上装 翻单3</t>
  </si>
  <si>
    <t>2025.6.22</t>
  </si>
  <si>
    <t>白色吊牌HPBCRFI001-60*95mm-RFID LOGO</t>
  </si>
  <si>
    <t>78733
80617
80909
81390</t>
  </si>
  <si>
    <t>RBSKNJTD048</t>
  </si>
  <si>
    <t>ACHIOTE 6795-046-700
BANGLADESH 男上装</t>
  </si>
  <si>
    <t>黑色织标WLBCGEN013-51*51mm</t>
  </si>
  <si>
    <t>81299
81300
81932
81309</t>
  </si>
  <si>
    <t>RBSKNJTD052</t>
  </si>
  <si>
    <t>NEGRONI  6809-046-800
BANGLADESH 男上装</t>
  </si>
  <si>
    <t>白色缎带洗标CLBCGEN003*9页-60*25mm（加页码）</t>
  </si>
  <si>
    <t>HZBT25026-D</t>
  </si>
  <si>
    <t>黑色织标WLBCRFI006-51*51mm-RFID（+3%）</t>
  </si>
  <si>
    <t>黑色织标WLBCRFI006-51*51mm-免费损耗1%</t>
  </si>
  <si>
    <t>黑色织标WLBCRFI006-51*51mm-大货样</t>
  </si>
  <si>
    <t>RBSKNJTD053</t>
  </si>
  <si>
    <t>PALOMA 6770-046-800
BANGLADESH 男上装 翻单4</t>
  </si>
  <si>
    <t>WLBCRFI005 RFID白织标-51*51mm</t>
  </si>
  <si>
    <t>HZBT25026-A</t>
  </si>
  <si>
    <t>WLBCRFI005 RFID白织标-51*51mm-免费损耗1%</t>
  </si>
  <si>
    <t>白色缎带洗标CLBCGEN003*5页-60*25mm（加页码）</t>
  </si>
  <si>
    <t>78414</t>
  </si>
  <si>
    <t>RBSKNJTD055</t>
  </si>
  <si>
    <t>PINTA 3606-140-800
BANGLADESH 男上装 夹克 翻单2</t>
  </si>
  <si>
    <t>黑色 吊绳 MRBCGEN004-320*1.5mm</t>
  </si>
  <si>
    <t>HZBT25026-C</t>
  </si>
  <si>
    <t>2025.6.20</t>
  </si>
  <si>
    <t>2025.6.21</t>
  </si>
  <si>
    <t>RBSKNJTD056</t>
  </si>
  <si>
    <t>PINTA 3606-046-802
BANGLADESH 男上背心 RFID加单7</t>
  </si>
  <si>
    <t>81664
82867</t>
  </si>
  <si>
    <t>RBSKNJTD059</t>
  </si>
  <si>
    <t>PALOMA 6770-046-800
BANGLADESH 男上装 翻单5</t>
  </si>
  <si>
    <t>2025.6.28</t>
  </si>
  <si>
    <t>HZBT25028-B</t>
  </si>
  <si>
    <t>2025.6.29</t>
  </si>
  <si>
    <t>PINTA 3606-140-800翻单4</t>
  </si>
  <si>
    <t>2025.7.11</t>
  </si>
  <si>
    <t>HZBT25029-C</t>
  </si>
  <si>
    <t>PINTA 3606-046-802</t>
  </si>
  <si>
    <t>PALOMA 6770-046-800 翻单6</t>
  </si>
  <si>
    <t>82766
82767
84341
84767</t>
  </si>
  <si>
    <t>RBSKNJTD063</t>
  </si>
  <si>
    <t>PINTA 3606-140-800
BANGLADESH 男上装 夹克 翻单4</t>
  </si>
  <si>
    <t>2025.7.17</t>
  </si>
  <si>
    <t>HZBT25032-D</t>
  </si>
  <si>
    <t>83887
84184
84770</t>
  </si>
  <si>
    <t>RBSKNJTD065</t>
  </si>
  <si>
    <t>PALOMA 6770-046-800
BANGLADESH 男上装 翻单6</t>
  </si>
  <si>
    <t>HZBT25032-C</t>
  </si>
  <si>
    <t>.</t>
  </si>
  <si>
    <t>RBSKNJTD068</t>
  </si>
  <si>
    <t>PINTA 3606-140-800
BANGLADESH 男上装 夹克 翻单6</t>
  </si>
  <si>
    <t>WLBCRFI005 RFID白织标-51*51mm（+3%）</t>
  </si>
  <si>
    <t>HZBT25035-B</t>
  </si>
  <si>
    <t>2025.7.31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</si>
  <si>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</si>
  <si>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</si>
  <si>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</si>
  <si>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</si>
  <si>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</si>
  <si>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</si>
  <si>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HZBT25034-F</t>
  </si>
  <si>
    <t>2025.8.1</t>
  </si>
  <si>
    <t>黑色织标WLBCRFI006-51*51mm-RFID(+3%)</t>
  </si>
  <si>
    <t>HZBT25035-E</t>
  </si>
  <si>
    <t>87001
85375
86576</t>
  </si>
  <si>
    <t>RBSKNJTD074</t>
  </si>
  <si>
    <t>PALOMA 6770-046-800
BANGLADESH 男上装 翻单7</t>
  </si>
  <si>
    <t>HZBT25035-A</t>
  </si>
  <si>
    <t>RBSKNJTD075</t>
  </si>
  <si>
    <t>PINTA 3606-140-800
BANGLADESH 男上装 夹克 翻单7</t>
  </si>
  <si>
    <t>HZBT25034-C</t>
  </si>
  <si>
    <t>RBSKNJTD077</t>
  </si>
  <si>
    <t>PINTA 3606-140-800
BANGLADESH 男上装 夹克 翻单8</t>
  </si>
  <si>
    <t>WLBCRFI005 RFID白织标-51*51mm-免费大货样</t>
  </si>
  <si>
    <t>RBSKNJTD078</t>
  </si>
  <si>
    <t>PRINGLE 6821-046-800
BANGLADESH 男上装 翻单1</t>
  </si>
  <si>
    <t>2025.8.14</t>
  </si>
  <si>
    <t>HZBT25036-E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</si>
  <si>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</si>
  <si>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</si>
  <si>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</si>
  <si>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</si>
  <si>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</si>
  <si>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</si>
  <si>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</si>
  <si>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</si>
  <si>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</si>
  <si>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</si>
  <si>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</si>
  <si>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</si>
  <si>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白色吊牌HPBCGEN001-60*95mm-1%损耗</t>
  </si>
  <si>
    <t>RBSKNJTD060</t>
  </si>
  <si>
    <t>PINTA 3606-140-800
BANGLADESH 男上装 夹克 翻单3</t>
  </si>
  <si>
    <t>81982
82768</t>
  </si>
  <si>
    <t>RBSKNJTD066</t>
  </si>
  <si>
    <t>PINTA 3606-046-802
BANGLADESH 男上背心 RFID加单9</t>
  </si>
  <si>
    <t>RBSKNJTD067</t>
  </si>
  <si>
    <t>PINTA 3606-140-800
BANGLADESH 男上装 夹克 翻单5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</si>
  <si>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</si>
  <si>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</si>
  <si>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</si>
  <si>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</si>
  <si>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</si>
  <si>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</si>
  <si>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</si>
  <si>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</si>
  <si>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</si>
  <si>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</si>
  <si>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</si>
  <si>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</si>
  <si>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孟加拉</t>
  </si>
  <si>
    <t>台账1</t>
  </si>
  <si>
    <t>台账4</t>
  </si>
  <si>
    <t>台账5</t>
  </si>
  <si>
    <t>丢失</t>
  </si>
  <si>
    <t>换挂牌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</si>
  <si>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</si>
  <si>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</si>
  <si>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</si>
  <si>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</si>
  <si>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</si>
  <si>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</si>
  <si>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白色缎带洗标CLBCGEN003*4页-60*25mm（加页码）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</si>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</sst>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0" borderId="17" applyNumberFormat="0" applyAlignment="0" applyProtection="0">
      <alignment vertical="center"/>
    </xf>
    <xf numFmtId="0" fontId="32" fillId="11" borderId="18" applyNumberFormat="0" applyAlignment="0" applyProtection="0">
      <alignment vertical="center"/>
    </xf>
    <xf numFmtId="0" fontId="33" fillId="11" borderId="17" applyNumberFormat="0" applyAlignment="0" applyProtection="0">
      <alignment vertical="center"/>
    </xf>
    <xf numFmtId="0" fontId="34" fillId="12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44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16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179" fontId="19" fillId="0" borderId="0" xfId="0" applyNumberFormat="1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8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4" fontId="6" fillId="7" borderId="2" xfId="0" applyNumberFormat="1" applyFont="1" applyFill="1" applyBorder="1" applyAlignment="1">
      <alignment horizontal="center" vertical="center" wrapText="1"/>
    </xf>
    <xf numFmtId="14" fontId="6" fillId="6" borderId="2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6" fillId="6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162560</xdr:colOff>
      <xdr:row>31</xdr:row>
      <xdr:rowOff>154305</xdr:rowOff>
    </xdr:from>
    <xdr:to>
      <xdr:col>10</xdr:col>
      <xdr:colOff>4021455</xdr:colOff>
      <xdr:row>35</xdr:row>
      <xdr:rowOff>256540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30810" y="8517255"/>
          <a:ext cx="385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53975</xdr:colOff>
      <xdr:row>17</xdr:row>
      <xdr:rowOff>190500</xdr:rowOff>
    </xdr:from>
    <xdr:to>
      <xdr:col>10</xdr:col>
      <xdr:colOff>4335780</xdr:colOff>
      <xdr:row>21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22225" y="5619750"/>
          <a:ext cx="4281805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120650</xdr:colOff>
      <xdr:row>24</xdr:row>
      <xdr:rowOff>130810</xdr:rowOff>
    </xdr:from>
    <xdr:to>
      <xdr:col>10</xdr:col>
      <xdr:colOff>4112895</xdr:colOff>
      <xdr:row>28</xdr:row>
      <xdr:rowOff>64770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88900" y="7026910"/>
          <a:ext cx="399224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60325</xdr:colOff>
      <xdr:row>37</xdr:row>
      <xdr:rowOff>130175</xdr:rowOff>
    </xdr:from>
    <xdr:to>
      <xdr:col>10</xdr:col>
      <xdr:colOff>4227195</xdr:colOff>
      <xdr:row>41</xdr:row>
      <xdr:rowOff>72390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728575" y="9959975"/>
          <a:ext cx="416687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105410</xdr:colOff>
      <xdr:row>43</xdr:row>
      <xdr:rowOff>144145</xdr:rowOff>
    </xdr:from>
    <xdr:to>
      <xdr:col>10</xdr:col>
      <xdr:colOff>4316730</xdr:colOff>
      <xdr:row>44</xdr:row>
      <xdr:rowOff>152400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73660" y="11231245"/>
          <a:ext cx="421132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243205</xdr:colOff>
      <xdr:row>8</xdr:row>
      <xdr:rowOff>100965</xdr:rowOff>
    </xdr:from>
    <xdr:to>
      <xdr:col>10</xdr:col>
      <xdr:colOff>5741670</xdr:colOff>
      <xdr:row>12</xdr:row>
      <xdr:rowOff>242570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911455" y="1999615"/>
          <a:ext cx="5498465" cy="150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146685</xdr:colOff>
      <xdr:row>48</xdr:row>
      <xdr:rowOff>206375</xdr:rowOff>
    </xdr:from>
    <xdr:to>
      <xdr:col>10</xdr:col>
      <xdr:colOff>5585460</xdr:colOff>
      <xdr:row>51</xdr:row>
      <xdr:rowOff>79375</xdr:rowOff>
    </xdr:to>
    <xdr:pic>
      <xdr:nvPicPr>
        <xdr:cNvPr id="3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814935" y="12309475"/>
          <a:ext cx="543877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194310</xdr:colOff>
      <xdr:row>52</xdr:row>
      <xdr:rowOff>558800</xdr:rowOff>
    </xdr:from>
    <xdr:to>
      <xdr:col>10</xdr:col>
      <xdr:colOff>5642610</xdr:colOff>
      <xdr:row>55</xdr:row>
      <xdr:rowOff>212725</xdr:rowOff>
    </xdr:to>
    <xdr:pic>
      <xdr:nvPicPr>
        <xdr:cNvPr id="4" name="图片 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862560" y="14452600"/>
          <a:ext cx="5448300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365760</xdr:colOff>
      <xdr:row>80</xdr:row>
      <xdr:rowOff>27305</xdr:rowOff>
    </xdr:from>
    <xdr:to>
      <xdr:col>10</xdr:col>
      <xdr:colOff>5023485</xdr:colOff>
      <xdr:row>85</xdr:row>
      <xdr:rowOff>66675</xdr:rowOff>
    </xdr:to>
    <xdr:pic>
      <xdr:nvPicPr>
        <xdr:cNvPr id="9" name="图片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034010" y="22569805"/>
          <a:ext cx="4657725" cy="1087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270510</xdr:colOff>
      <xdr:row>70</xdr:row>
      <xdr:rowOff>161925</xdr:rowOff>
    </xdr:from>
    <xdr:to>
      <xdr:col>11</xdr:col>
      <xdr:colOff>0</xdr:colOff>
      <xdr:row>77</xdr:row>
      <xdr:rowOff>199390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938760" y="20608925"/>
          <a:ext cx="5604510" cy="150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241935</xdr:colOff>
      <xdr:row>64</xdr:row>
      <xdr:rowOff>133350</xdr:rowOff>
    </xdr:from>
    <xdr:to>
      <xdr:col>10</xdr:col>
      <xdr:colOff>5671185</xdr:colOff>
      <xdr:row>66</xdr:row>
      <xdr:rowOff>336550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910185" y="18122900"/>
          <a:ext cx="54292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280035</xdr:colOff>
      <xdr:row>67</xdr:row>
      <xdr:rowOff>304800</xdr:rowOff>
    </xdr:from>
    <xdr:to>
      <xdr:col>10</xdr:col>
      <xdr:colOff>5718810</xdr:colOff>
      <xdr:row>69</xdr:row>
      <xdr:rowOff>161925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948285" y="19634200"/>
          <a:ext cx="543877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461010</xdr:colOff>
      <xdr:row>86</xdr:row>
      <xdr:rowOff>179705</xdr:rowOff>
    </xdr:from>
    <xdr:to>
      <xdr:col>10</xdr:col>
      <xdr:colOff>4585335</xdr:colOff>
      <xdr:row>89</xdr:row>
      <xdr:rowOff>215900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129260" y="23979505"/>
          <a:ext cx="412432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207010</xdr:colOff>
      <xdr:row>58</xdr:row>
      <xdr:rowOff>39370</xdr:rowOff>
    </xdr:from>
    <xdr:to>
      <xdr:col>10</xdr:col>
      <xdr:colOff>5177155</xdr:colOff>
      <xdr:row>63</xdr:row>
      <xdr:rowOff>66675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875260" y="16371570"/>
          <a:ext cx="4970145" cy="1075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54545454545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53">
        <v>45439</v>
      </c>
      <c r="B3" s="15" t="s">
        <v>15</v>
      </c>
      <c r="C3" s="154">
        <v>54401</v>
      </c>
      <c r="D3" s="155" t="s">
        <v>16</v>
      </c>
      <c r="E3" s="154" t="s">
        <v>17</v>
      </c>
      <c r="F3" s="154" t="s">
        <v>18</v>
      </c>
      <c r="G3" s="156">
        <v>10500</v>
      </c>
      <c r="H3" s="156">
        <f t="shared" ref="H3:H32" si="0">G3-I3</f>
        <v>500</v>
      </c>
      <c r="I3" s="154">
        <v>10000</v>
      </c>
      <c r="J3" s="20">
        <v>0.368</v>
      </c>
      <c r="K3" s="157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53"/>
      <c r="B4" s="15"/>
      <c r="C4" s="154"/>
      <c r="D4" s="155"/>
      <c r="E4" s="154"/>
      <c r="F4" s="158">
        <v>45476</v>
      </c>
      <c r="G4" s="156">
        <v>11582</v>
      </c>
      <c r="H4" s="156">
        <f t="shared" si="0"/>
        <v>554</v>
      </c>
      <c r="I4" s="154">
        <v>11028</v>
      </c>
      <c r="J4" s="20">
        <v>0.368</v>
      </c>
      <c r="K4" s="157">
        <f t="shared" si="1"/>
        <v>4058.304</v>
      </c>
      <c r="L4" s="159"/>
      <c r="M4" s="20"/>
      <c r="N4" s="20"/>
      <c r="O4" s="20"/>
    </row>
    <row r="5" ht="16.5" spans="1:15">
      <c r="A5" s="153"/>
      <c r="B5" s="15"/>
      <c r="C5" s="154"/>
      <c r="D5" s="155"/>
      <c r="E5" s="154"/>
      <c r="F5" s="154" t="s">
        <v>18</v>
      </c>
      <c r="G5" s="156">
        <v>10500</v>
      </c>
      <c r="H5" s="156">
        <f t="shared" si="0"/>
        <v>500</v>
      </c>
      <c r="I5" s="154">
        <v>10000</v>
      </c>
      <c r="J5" s="15">
        <f>0.042*8</f>
        <v>0.336</v>
      </c>
      <c r="K5" s="157">
        <f t="shared" si="1"/>
        <v>3360</v>
      </c>
      <c r="L5" s="157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53"/>
      <c r="B6" s="15"/>
      <c r="C6" s="154"/>
      <c r="D6" s="155"/>
      <c r="E6" s="154"/>
      <c r="F6" s="158">
        <v>45476</v>
      </c>
      <c r="G6" s="156">
        <v>11583</v>
      </c>
      <c r="H6" s="156">
        <f t="shared" si="0"/>
        <v>555</v>
      </c>
      <c r="I6" s="154">
        <v>11028</v>
      </c>
      <c r="J6" s="15">
        <f>0.042*8</f>
        <v>0.336</v>
      </c>
      <c r="K6" s="157">
        <f t="shared" si="1"/>
        <v>3705.408</v>
      </c>
      <c r="L6" s="160"/>
      <c r="M6" s="20"/>
      <c r="N6" s="20"/>
      <c r="O6" s="20"/>
    </row>
    <row r="7" ht="16" customHeight="1" spans="1:15">
      <c r="A7" s="153"/>
      <c r="B7" s="15"/>
      <c r="C7" s="154"/>
      <c r="D7" s="155"/>
      <c r="E7" s="154"/>
      <c r="F7" s="158">
        <v>45476</v>
      </c>
      <c r="G7" s="156">
        <v>22079.4</v>
      </c>
      <c r="H7" s="156">
        <f t="shared" si="0"/>
        <v>1051.4</v>
      </c>
      <c r="I7" s="154">
        <v>21028</v>
      </c>
      <c r="J7" s="20">
        <v>0.294</v>
      </c>
      <c r="K7" s="157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53"/>
      <c r="B8" s="15"/>
      <c r="C8" s="154"/>
      <c r="D8" s="155"/>
      <c r="E8" s="154"/>
      <c r="F8" s="158">
        <v>45476</v>
      </c>
      <c r="G8" s="156">
        <v>22079.4</v>
      </c>
      <c r="H8" s="156">
        <f t="shared" si="0"/>
        <v>1051.4</v>
      </c>
      <c r="I8" s="154">
        <v>21028</v>
      </c>
      <c r="J8" s="20">
        <v>0.116</v>
      </c>
      <c r="K8" s="157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53">
        <v>45439</v>
      </c>
      <c r="B9" s="15" t="s">
        <v>15</v>
      </c>
      <c r="C9" s="154">
        <v>54404</v>
      </c>
      <c r="D9" s="155" t="s">
        <v>23</v>
      </c>
      <c r="E9" s="154" t="s">
        <v>24</v>
      </c>
      <c r="F9" s="158">
        <v>45470</v>
      </c>
      <c r="G9" s="156">
        <f>I9*1.05</f>
        <v>31500</v>
      </c>
      <c r="H9" s="156">
        <f t="shared" si="0"/>
        <v>1500</v>
      </c>
      <c r="I9" s="154">
        <v>30000</v>
      </c>
      <c r="J9" s="20">
        <v>0.368</v>
      </c>
      <c r="K9" s="157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53"/>
      <c r="B10" s="15"/>
      <c r="C10" s="154"/>
      <c r="D10" s="155"/>
      <c r="E10" s="154"/>
      <c r="F10" s="158">
        <v>45476</v>
      </c>
      <c r="G10" s="156">
        <v>1605</v>
      </c>
      <c r="H10" s="156">
        <f t="shared" si="0"/>
        <v>79</v>
      </c>
      <c r="I10" s="154">
        <v>1526</v>
      </c>
      <c r="J10" s="20">
        <v>0.368</v>
      </c>
      <c r="K10" s="157">
        <f t="shared" si="1"/>
        <v>561.568</v>
      </c>
      <c r="L10" s="159"/>
      <c r="M10" s="20"/>
      <c r="N10" s="15"/>
      <c r="O10" s="20"/>
    </row>
    <row r="11" ht="16.5" spans="1:15">
      <c r="A11" s="153"/>
      <c r="B11" s="15"/>
      <c r="C11" s="154"/>
      <c r="D11" s="155"/>
      <c r="E11" s="154"/>
      <c r="F11" s="158">
        <v>45470</v>
      </c>
      <c r="G11" s="156">
        <f>I11*1.05</f>
        <v>31500</v>
      </c>
      <c r="H11" s="156">
        <f t="shared" si="0"/>
        <v>1500</v>
      </c>
      <c r="I11" s="154">
        <v>30000</v>
      </c>
      <c r="J11" s="15">
        <f>0.042*6</f>
        <v>0.252</v>
      </c>
      <c r="K11" s="157">
        <f t="shared" si="1"/>
        <v>7560</v>
      </c>
      <c r="L11" s="157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53"/>
      <c r="B12" s="15"/>
      <c r="C12" s="154"/>
      <c r="D12" s="155"/>
      <c r="E12" s="154"/>
      <c r="F12" s="158">
        <v>45476</v>
      </c>
      <c r="G12" s="156">
        <v>1607</v>
      </c>
      <c r="H12" s="156">
        <f t="shared" si="0"/>
        <v>81</v>
      </c>
      <c r="I12" s="154">
        <v>1526</v>
      </c>
      <c r="J12" s="15">
        <f>0.042*6</f>
        <v>0.252</v>
      </c>
      <c r="K12" s="157">
        <f t="shared" si="1"/>
        <v>384.552</v>
      </c>
      <c r="L12" s="160"/>
      <c r="M12" s="20"/>
      <c r="N12" s="20"/>
      <c r="O12" s="20"/>
    </row>
    <row r="13" ht="16" customHeight="1" spans="1:15">
      <c r="A13" s="153"/>
      <c r="B13" s="15"/>
      <c r="C13" s="154"/>
      <c r="D13" s="155"/>
      <c r="E13" s="154"/>
      <c r="F13" s="158">
        <v>45476</v>
      </c>
      <c r="G13" s="156">
        <v>33102</v>
      </c>
      <c r="H13" s="156">
        <f t="shared" si="0"/>
        <v>1576</v>
      </c>
      <c r="I13" s="154">
        <v>31526</v>
      </c>
      <c r="J13" s="20">
        <v>0.294</v>
      </c>
      <c r="K13" s="157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53"/>
      <c r="B14" s="15"/>
      <c r="C14" s="154"/>
      <c r="D14" s="155"/>
      <c r="E14" s="154"/>
      <c r="F14" s="158">
        <v>45476</v>
      </c>
      <c r="G14" s="156">
        <v>33102</v>
      </c>
      <c r="H14" s="156">
        <f t="shared" si="0"/>
        <v>1576</v>
      </c>
      <c r="I14" s="154">
        <v>31526</v>
      </c>
      <c r="J14" s="20">
        <v>0.116</v>
      </c>
      <c r="K14" s="157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53">
        <v>45477</v>
      </c>
      <c r="B15" s="15" t="s">
        <v>26</v>
      </c>
      <c r="C15" s="154">
        <v>58394</v>
      </c>
      <c r="D15" s="155" t="s">
        <v>27</v>
      </c>
      <c r="E15" s="154" t="s">
        <v>28</v>
      </c>
      <c r="F15" s="158">
        <v>45484</v>
      </c>
      <c r="G15" s="156">
        <f>I15*1.05</f>
        <v>771.75</v>
      </c>
      <c r="H15" s="156">
        <f t="shared" si="0"/>
        <v>36.75</v>
      </c>
      <c r="I15" s="154">
        <v>735</v>
      </c>
      <c r="J15" s="20">
        <v>0.254</v>
      </c>
      <c r="K15" s="157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53"/>
      <c r="B16" s="15"/>
      <c r="C16" s="154"/>
      <c r="D16" s="155"/>
      <c r="E16" s="154"/>
      <c r="F16" s="158">
        <v>45484</v>
      </c>
      <c r="G16" s="156">
        <f>I16*1.05</f>
        <v>771.75</v>
      </c>
      <c r="H16" s="156">
        <f t="shared" si="0"/>
        <v>36.75</v>
      </c>
      <c r="I16" s="154">
        <v>735</v>
      </c>
      <c r="J16" s="20">
        <v>0.15</v>
      </c>
      <c r="K16" s="157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53"/>
      <c r="B17" s="15"/>
      <c r="C17" s="154"/>
      <c r="D17" s="155"/>
      <c r="E17" s="154"/>
      <c r="F17" s="158">
        <v>45484</v>
      </c>
      <c r="G17" s="156">
        <v>2200</v>
      </c>
      <c r="H17" s="156">
        <f t="shared" si="0"/>
        <v>100</v>
      </c>
      <c r="I17" s="154">
        <v>2100</v>
      </c>
      <c r="J17" s="20">
        <v>0.12</v>
      </c>
      <c r="K17" s="157">
        <f t="shared" si="1"/>
        <v>252</v>
      </c>
      <c r="L17" s="157" t="s">
        <v>31</v>
      </c>
      <c r="M17" s="20"/>
      <c r="N17" s="20"/>
      <c r="O17" s="20"/>
    </row>
    <row r="18" ht="32" customHeight="1" spans="1:15">
      <c r="A18" s="153"/>
      <c r="B18" s="15"/>
      <c r="C18" s="154"/>
      <c r="D18" s="155"/>
      <c r="E18" s="154"/>
      <c r="F18" s="158">
        <v>45485</v>
      </c>
      <c r="G18" s="156">
        <v>30500</v>
      </c>
      <c r="H18" s="156">
        <f t="shared" si="0"/>
        <v>8</v>
      </c>
      <c r="I18" s="154">
        <v>30492</v>
      </c>
      <c r="J18" s="20">
        <v>0.12</v>
      </c>
      <c r="K18" s="157">
        <f t="shared" si="1"/>
        <v>3659.04</v>
      </c>
      <c r="L18" s="160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61">
        <v>45484</v>
      </c>
      <c r="G19" s="156">
        <v>561</v>
      </c>
      <c r="H19" s="156">
        <f t="shared" si="0"/>
        <v>26</v>
      </c>
      <c r="I19" s="13">
        <v>535</v>
      </c>
      <c r="J19" s="20">
        <v>0.254</v>
      </c>
      <c r="K19" s="157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61">
        <v>45484</v>
      </c>
      <c r="G20" s="156">
        <v>561</v>
      </c>
      <c r="H20" s="156">
        <f t="shared" si="0"/>
        <v>26</v>
      </c>
      <c r="I20" s="13">
        <v>535</v>
      </c>
      <c r="J20" s="20">
        <v>0.15</v>
      </c>
      <c r="K20" s="157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53">
        <v>45483</v>
      </c>
      <c r="B21" s="15" t="s">
        <v>26</v>
      </c>
      <c r="C21" s="154" t="s">
        <v>34</v>
      </c>
      <c r="D21" s="155" t="s">
        <v>35</v>
      </c>
      <c r="E21" s="154" t="s">
        <v>36</v>
      </c>
      <c r="F21" s="158">
        <v>45491</v>
      </c>
      <c r="G21" s="156">
        <f t="shared" ref="G21:G32" si="2">I21*1.05</f>
        <v>25213.65</v>
      </c>
      <c r="H21" s="156">
        <f t="shared" si="0"/>
        <v>1200.65</v>
      </c>
      <c r="I21" s="13">
        <v>24013</v>
      </c>
      <c r="J21" s="20">
        <v>0.368</v>
      </c>
      <c r="K21" s="157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53"/>
      <c r="B22" s="15"/>
      <c r="C22" s="154"/>
      <c r="D22" s="155"/>
      <c r="E22" s="154"/>
      <c r="F22" s="158">
        <v>45491</v>
      </c>
      <c r="G22" s="156">
        <f t="shared" si="2"/>
        <v>25213.65</v>
      </c>
      <c r="H22" s="156">
        <f t="shared" si="0"/>
        <v>1200.65</v>
      </c>
      <c r="I22" s="13">
        <v>24013</v>
      </c>
      <c r="J22" s="15">
        <f>0.042*7</f>
        <v>0.294</v>
      </c>
      <c r="K22" s="157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53"/>
      <c r="B23" s="15"/>
      <c r="C23" s="154"/>
      <c r="D23" s="155"/>
      <c r="E23" s="154"/>
      <c r="F23" s="158">
        <v>45491</v>
      </c>
      <c r="G23" s="156">
        <f t="shared" si="2"/>
        <v>25213.65</v>
      </c>
      <c r="H23" s="156">
        <f t="shared" si="0"/>
        <v>1200.65</v>
      </c>
      <c r="I23" s="13">
        <v>24013</v>
      </c>
      <c r="J23" s="20">
        <v>0.294</v>
      </c>
      <c r="K23" s="157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53"/>
      <c r="B24" s="15"/>
      <c r="C24" s="154"/>
      <c r="D24" s="155"/>
      <c r="E24" s="154"/>
      <c r="F24" s="158">
        <v>45491</v>
      </c>
      <c r="G24" s="156">
        <f t="shared" si="2"/>
        <v>25213.65</v>
      </c>
      <c r="H24" s="156">
        <f t="shared" si="0"/>
        <v>1200.65</v>
      </c>
      <c r="I24" s="13">
        <v>24013</v>
      </c>
      <c r="J24" s="20">
        <v>0.116</v>
      </c>
      <c r="K24" s="157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53">
        <v>45492</v>
      </c>
      <c r="B25" s="15" t="s">
        <v>39</v>
      </c>
      <c r="C25" s="154" t="s">
        <v>40</v>
      </c>
      <c r="D25" s="155" t="s">
        <v>41</v>
      </c>
      <c r="E25" s="154" t="s">
        <v>42</v>
      </c>
      <c r="F25" s="158">
        <v>45503</v>
      </c>
      <c r="G25" s="156">
        <f t="shared" si="2"/>
        <v>10500</v>
      </c>
      <c r="H25" s="156">
        <f t="shared" si="0"/>
        <v>500</v>
      </c>
      <c r="I25" s="13">
        <v>10000</v>
      </c>
      <c r="J25" s="20">
        <v>0.368</v>
      </c>
      <c r="K25" s="157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53"/>
      <c r="B26" s="15"/>
      <c r="C26" s="154"/>
      <c r="D26" s="155"/>
      <c r="E26" s="154"/>
      <c r="F26" s="158">
        <v>45503</v>
      </c>
      <c r="G26" s="156">
        <f t="shared" si="2"/>
        <v>10500</v>
      </c>
      <c r="H26" s="156">
        <f t="shared" si="0"/>
        <v>500</v>
      </c>
      <c r="I26" s="13">
        <v>10000</v>
      </c>
      <c r="J26" s="15">
        <f>0.042*7</f>
        <v>0.294</v>
      </c>
      <c r="K26" s="157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53"/>
      <c r="B27" s="15"/>
      <c r="C27" s="154"/>
      <c r="D27" s="155"/>
      <c r="E27" s="154"/>
      <c r="F27" s="158">
        <v>45503</v>
      </c>
      <c r="G27" s="156">
        <f t="shared" si="2"/>
        <v>10500</v>
      </c>
      <c r="H27" s="156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53"/>
      <c r="B28" s="15"/>
      <c r="C28" s="154"/>
      <c r="D28" s="155"/>
      <c r="E28" s="154"/>
      <c r="F28" s="158">
        <v>45503</v>
      </c>
      <c r="G28" s="156">
        <f t="shared" si="2"/>
        <v>10500</v>
      </c>
      <c r="H28" s="156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53">
        <v>45499</v>
      </c>
      <c r="B29" s="15" t="s">
        <v>39</v>
      </c>
      <c r="C29" s="154" t="s">
        <v>43</v>
      </c>
      <c r="D29" s="155" t="s">
        <v>44</v>
      </c>
      <c r="E29" s="154" t="s">
        <v>45</v>
      </c>
      <c r="F29" s="158">
        <v>45503</v>
      </c>
      <c r="G29" s="156">
        <f t="shared" si="2"/>
        <v>9765</v>
      </c>
      <c r="H29" s="156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53"/>
      <c r="B30" s="15"/>
      <c r="C30" s="154"/>
      <c r="D30" s="155"/>
      <c r="E30" s="154"/>
      <c r="F30" s="158">
        <v>45503</v>
      </c>
      <c r="G30" s="156">
        <f t="shared" si="2"/>
        <v>9765</v>
      </c>
      <c r="H30" s="156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53"/>
      <c r="B31" s="15"/>
      <c r="C31" s="154"/>
      <c r="D31" s="155"/>
      <c r="E31" s="154"/>
      <c r="F31" s="158">
        <v>45506</v>
      </c>
      <c r="G31" s="156">
        <f t="shared" si="2"/>
        <v>9765</v>
      </c>
      <c r="H31" s="156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53"/>
      <c r="B32" s="15"/>
      <c r="C32" s="154"/>
      <c r="D32" s="155"/>
      <c r="E32" s="154"/>
      <c r="F32" s="158">
        <v>45506</v>
      </c>
      <c r="G32" s="156">
        <f t="shared" si="2"/>
        <v>9765</v>
      </c>
      <c r="H32" s="156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62">
        <v>45439</v>
      </c>
      <c r="B33" s="163" t="s">
        <v>15</v>
      </c>
      <c r="C33" s="164">
        <v>54401</v>
      </c>
      <c r="D33" s="165" t="s">
        <v>16</v>
      </c>
      <c r="E33" s="164" t="s">
        <v>17</v>
      </c>
      <c r="F33" s="154" t="s">
        <v>46</v>
      </c>
      <c r="G33" s="13">
        <v>0</v>
      </c>
      <c r="H33" s="13">
        <v>0</v>
      </c>
      <c r="I33" s="13">
        <v>10000</v>
      </c>
      <c r="J33" s="15">
        <v>0.042</v>
      </c>
      <c r="K33" s="157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62">
        <v>45439</v>
      </c>
      <c r="B34" s="163" t="s">
        <v>15</v>
      </c>
      <c r="C34" s="164">
        <v>54404</v>
      </c>
      <c r="D34" s="165" t="s">
        <v>23</v>
      </c>
      <c r="E34" s="164" t="s">
        <v>24</v>
      </c>
      <c r="F34" s="154" t="s">
        <v>46</v>
      </c>
      <c r="G34" s="13">
        <v>0</v>
      </c>
      <c r="H34" s="13">
        <v>0</v>
      </c>
      <c r="I34" s="13">
        <v>30000</v>
      </c>
      <c r="J34" s="15">
        <v>0.042</v>
      </c>
      <c r="K34" s="157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53">
        <v>45477</v>
      </c>
      <c r="B35" s="15" t="s">
        <v>26</v>
      </c>
      <c r="C35" s="154">
        <v>58401</v>
      </c>
      <c r="D35" s="155" t="s">
        <v>32</v>
      </c>
      <c r="E35" s="154" t="s">
        <v>33</v>
      </c>
      <c r="F35" s="158">
        <v>45484</v>
      </c>
      <c r="G35" s="156">
        <v>32552</v>
      </c>
      <c r="H35" s="156">
        <f>G35-I35</f>
        <v>1550</v>
      </c>
      <c r="I35" s="13">
        <v>31002</v>
      </c>
      <c r="J35" s="20">
        <v>0.1</v>
      </c>
      <c r="K35" s="157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2"/>
  <sheetViews>
    <sheetView tabSelected="1" topLeftCell="E45" workbookViewId="0">
      <selection activeCell="L49" sqref="L49:L5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hidden="1" customWidth="1"/>
    <col min="7" max="7" width="56.0909090909091" customWidth="1"/>
    <col min="8" max="8" width="9.44545454545455" customWidth="1"/>
    <col min="9" max="9" width="12.3636363636364" customWidth="1"/>
    <col min="10" max="10" width="13.5545454545455" customWidth="1"/>
    <col min="11" max="11" width="84.1090909090909" customWidth="1"/>
    <col min="12" max="12" width="16" customWidth="1"/>
    <col min="15" max="15" width="10.5454545454545"/>
    <col min="22" max="22" width="10.5454545454545"/>
  </cols>
  <sheetData>
    <row r="1" s="1" customFormat="1" ht="21" spans="1:13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3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3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15" si="0">H3*I3</f>
        <v>2208</v>
      </c>
    </row>
    <row r="4" s="1" customFormat="1" ht="16.5" spans="1:13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3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3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3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  <c r="K7" s="105"/>
      <c r="L7" s="105" t="s">
        <v>58</v>
      </c>
    </row>
    <row r="8" ht="32" customHeight="1" spans="1:13">
      <c r="A8" s="28">
        <v>45787</v>
      </c>
      <c r="B8" s="28" t="s">
        <v>39</v>
      </c>
      <c r="C8" s="28" t="s">
        <v>59</v>
      </c>
      <c r="D8" s="83" t="s">
        <v>60</v>
      </c>
      <c r="E8" s="28" t="s">
        <v>61</v>
      </c>
      <c r="F8" s="28" t="s">
        <v>62</v>
      </c>
      <c r="G8" s="35" t="s">
        <v>63</v>
      </c>
      <c r="H8" s="35">
        <f>6000</f>
        <v>6000</v>
      </c>
      <c r="I8" s="35">
        <f>0.042*2</f>
        <v>0.084</v>
      </c>
      <c r="J8" s="35">
        <f t="shared" si="0"/>
        <v>504</v>
      </c>
      <c r="K8" s="106"/>
      <c r="L8" s="107" t="s">
        <v>64</v>
      </c>
    </row>
    <row r="9" ht="30" customHeight="1" spans="1:13">
      <c r="A9" s="28"/>
      <c r="B9" s="28"/>
      <c r="C9" s="28"/>
      <c r="D9" s="83"/>
      <c r="E9" s="28"/>
      <c r="F9" s="28"/>
      <c r="G9" s="35" t="s">
        <v>65</v>
      </c>
      <c r="H9" s="35">
        <f>4680</f>
        <v>4680</v>
      </c>
      <c r="I9" s="35">
        <f>0.042*3</f>
        <v>0.126</v>
      </c>
      <c r="J9" s="35">
        <f t="shared" si="0"/>
        <v>589.68</v>
      </c>
      <c r="K9" s="25"/>
      <c r="L9" s="108"/>
    </row>
    <row r="10" ht="28" customHeight="1" spans="1:13">
      <c r="A10" s="28"/>
      <c r="B10" s="28"/>
      <c r="C10" s="28"/>
      <c r="D10" s="83"/>
      <c r="E10" s="28"/>
      <c r="F10" s="28"/>
      <c r="G10" s="109" t="s">
        <v>21</v>
      </c>
      <c r="H10" s="109">
        <f>3500+3000+3000</f>
        <v>9500</v>
      </c>
      <c r="I10" s="34">
        <v>0.24</v>
      </c>
      <c r="J10" s="35">
        <f t="shared" si="0"/>
        <v>2280</v>
      </c>
      <c r="K10" s="25"/>
      <c r="L10" s="108"/>
    </row>
    <row r="11" ht="33" spans="1:13">
      <c r="A11" s="28">
        <v>45787</v>
      </c>
      <c r="B11" s="29" t="s">
        <v>39</v>
      </c>
      <c r="C11" s="29">
        <v>79229</v>
      </c>
      <c r="D11" s="73" t="s">
        <v>66</v>
      </c>
      <c r="E11" s="29" t="s">
        <v>67</v>
      </c>
      <c r="F11" s="28" t="s">
        <v>68</v>
      </c>
      <c r="G11" s="110" t="s">
        <v>69</v>
      </c>
      <c r="H11" s="111">
        <v>6300</v>
      </c>
      <c r="I11" s="34">
        <v>0.24</v>
      </c>
      <c r="J11" s="112">
        <f t="shared" si="0"/>
        <v>1512</v>
      </c>
      <c r="K11" s="25"/>
      <c r="L11" s="108"/>
      <c r="M11" s="1"/>
    </row>
    <row r="12" ht="16.5" spans="1:13">
      <c r="A12" s="28">
        <v>45796</v>
      </c>
      <c r="B12" s="29" t="s">
        <v>39</v>
      </c>
      <c r="C12" s="29" t="s">
        <v>70</v>
      </c>
      <c r="D12" s="73" t="s">
        <v>71</v>
      </c>
      <c r="E12" s="29" t="s">
        <v>72</v>
      </c>
      <c r="F12" s="28" t="s">
        <v>62</v>
      </c>
      <c r="G12" s="113" t="s">
        <v>21</v>
      </c>
      <c r="H12" s="114">
        <v>14813</v>
      </c>
      <c r="I12" s="114">
        <v>0.24</v>
      </c>
      <c r="J12" s="113">
        <f t="shared" si="0"/>
        <v>3555.12</v>
      </c>
      <c r="K12" s="25"/>
      <c r="L12" s="108"/>
      <c r="M12" s="1">
        <f>5184.55+4355.02+5184.55+1849.68+2280</f>
        <v>18853.8</v>
      </c>
    </row>
    <row r="13" ht="33" customHeight="1" spans="1:13">
      <c r="A13" s="28"/>
      <c r="B13" s="29"/>
      <c r="C13" s="29"/>
      <c r="D13" s="73"/>
      <c r="E13" s="29"/>
      <c r="F13" s="28"/>
      <c r="G13" s="114" t="s">
        <v>22</v>
      </c>
      <c r="H13" s="114">
        <v>14813</v>
      </c>
      <c r="I13" s="114">
        <v>0.11</v>
      </c>
      <c r="J13" s="113">
        <f t="shared" si="0"/>
        <v>1629.43</v>
      </c>
      <c r="K13" s="25"/>
      <c r="L13" s="108"/>
      <c r="M13" s="1"/>
    </row>
    <row r="14" ht="28" customHeight="1" spans="1:13">
      <c r="A14" s="28"/>
      <c r="B14" s="29"/>
      <c r="C14" s="29"/>
      <c r="D14" s="73"/>
      <c r="E14" s="29"/>
      <c r="F14" s="28"/>
      <c r="G14" s="114" t="s">
        <v>38</v>
      </c>
      <c r="H14" s="114">
        <f>14813</f>
        <v>14813</v>
      </c>
      <c r="I14" s="114">
        <f>0.042*7</f>
        <v>0.294</v>
      </c>
      <c r="J14" s="113">
        <f t="shared" si="0"/>
        <v>4355.022</v>
      </c>
      <c r="K14" s="25"/>
      <c r="L14" s="108"/>
      <c r="M14" s="1"/>
    </row>
    <row r="15" ht="36" customHeight="1" spans="1:13">
      <c r="A15" s="28"/>
      <c r="B15" s="29"/>
      <c r="C15" s="29"/>
      <c r="D15" s="73"/>
      <c r="E15" s="29"/>
      <c r="F15" s="28"/>
      <c r="G15" s="114" t="s">
        <v>73</v>
      </c>
      <c r="H15" s="114">
        <v>9533</v>
      </c>
      <c r="I15" s="114">
        <v>0.35</v>
      </c>
      <c r="J15" s="113">
        <f t="shared" si="0"/>
        <v>3336.55</v>
      </c>
      <c r="K15" s="115"/>
      <c r="L15" s="116"/>
      <c r="M15" s="1"/>
    </row>
    <row r="16" ht="57" customHeight="1" spans="1:13">
      <c r="A16" s="28"/>
      <c r="B16" s="29"/>
      <c r="C16" s="29"/>
      <c r="D16" s="73"/>
      <c r="E16" s="5" t="s">
        <v>5</v>
      </c>
      <c r="F16" s="6" t="s">
        <v>6</v>
      </c>
      <c r="G16" s="7" t="s">
        <v>12</v>
      </c>
      <c r="H16" s="8" t="s">
        <v>13</v>
      </c>
      <c r="I16" s="9" t="s">
        <v>10</v>
      </c>
      <c r="J16" s="27" t="s">
        <v>51</v>
      </c>
      <c r="K16">
        <f>5184.55+4355.02+5184.55+1849.68+2280</f>
        <v>18853.8</v>
      </c>
    </row>
    <row r="17" ht="16.5" spans="1:13">
      <c r="A17" s="28">
        <v>45813</v>
      </c>
      <c r="B17" s="29" t="s">
        <v>39</v>
      </c>
      <c r="C17" s="29" t="s">
        <v>74</v>
      </c>
      <c r="D17" s="73" t="s">
        <v>75</v>
      </c>
      <c r="E17" s="29" t="s">
        <v>76</v>
      </c>
      <c r="F17" s="86" t="s">
        <v>68</v>
      </c>
      <c r="G17" s="114" t="s">
        <v>77</v>
      </c>
      <c r="H17" s="114">
        <f>15013</f>
        <v>15013</v>
      </c>
      <c r="I17" s="114">
        <f>0.042*9</f>
        <v>0.378</v>
      </c>
      <c r="J17" s="113">
        <f t="shared" ref="J17:J36" si="1">H17*I17</f>
        <v>5674.914</v>
      </c>
      <c r="K17" s="117"/>
      <c r="L17" s="117" t="s">
        <v>78</v>
      </c>
    </row>
    <row r="18" ht="16.5" spans="1:13">
      <c r="A18" s="28"/>
      <c r="B18" s="29"/>
      <c r="C18" s="29"/>
      <c r="D18" s="73"/>
      <c r="E18" s="29"/>
      <c r="F18" s="87"/>
      <c r="G18" s="113" t="s">
        <v>79</v>
      </c>
      <c r="H18" s="118">
        <v>15463</v>
      </c>
      <c r="I18" s="119">
        <v>1.07</v>
      </c>
      <c r="J18" s="113">
        <f t="shared" si="1"/>
        <v>16545.41</v>
      </c>
      <c r="K18" s="120"/>
      <c r="L18" s="120"/>
    </row>
    <row r="19" ht="16.5" spans="1:13">
      <c r="A19" s="28"/>
      <c r="B19" s="29"/>
      <c r="C19" s="29"/>
      <c r="D19" s="73"/>
      <c r="E19" s="29"/>
      <c r="F19" s="87"/>
      <c r="G19" s="113" t="s">
        <v>80</v>
      </c>
      <c r="H19" s="121">
        <v>150</v>
      </c>
      <c r="I19" s="119">
        <v>0</v>
      </c>
      <c r="J19" s="113">
        <f t="shared" si="1"/>
        <v>0</v>
      </c>
      <c r="K19" s="120"/>
      <c r="L19" s="120"/>
    </row>
    <row r="20" ht="16.5" spans="1:13">
      <c r="A20" s="28"/>
      <c r="B20" s="29"/>
      <c r="C20" s="29"/>
      <c r="D20" s="73"/>
      <c r="E20" s="29"/>
      <c r="F20" s="87"/>
      <c r="G20" s="122" t="s">
        <v>81</v>
      </c>
      <c r="H20" s="121">
        <f>4*5+5</f>
        <v>25</v>
      </c>
      <c r="I20" s="119">
        <v>0</v>
      </c>
      <c r="J20" s="113">
        <f t="shared" si="1"/>
        <v>0</v>
      </c>
      <c r="K20" s="120"/>
      <c r="L20" s="120"/>
    </row>
    <row r="21" ht="16.5" spans="1:13">
      <c r="A21" s="28"/>
      <c r="B21" s="29"/>
      <c r="C21" s="29"/>
      <c r="D21" s="73"/>
      <c r="E21" s="29"/>
      <c r="F21" s="87"/>
      <c r="G21" s="113" t="s">
        <v>69</v>
      </c>
      <c r="H21" s="121">
        <v>10013</v>
      </c>
      <c r="I21" s="114">
        <v>0.24</v>
      </c>
      <c r="J21" s="113">
        <f t="shared" si="1"/>
        <v>2403.12</v>
      </c>
      <c r="K21" s="120"/>
      <c r="L21" s="120"/>
      <c r="M21">
        <f>16545.41+5674.91+5254.55</f>
        <v>27474.87</v>
      </c>
    </row>
    <row r="22" ht="16.5" spans="1:13">
      <c r="A22" s="28"/>
      <c r="B22" s="29"/>
      <c r="C22" s="29"/>
      <c r="D22" s="73"/>
      <c r="E22" s="29"/>
      <c r="F22" s="87"/>
      <c r="G22" s="114" t="s">
        <v>22</v>
      </c>
      <c r="H22" s="121">
        <v>10013</v>
      </c>
      <c r="I22" s="114">
        <v>0.11</v>
      </c>
      <c r="J22" s="113">
        <f t="shared" si="1"/>
        <v>1101.43</v>
      </c>
      <c r="K22" s="120"/>
      <c r="L22" s="120"/>
    </row>
    <row r="23" ht="16.5" spans="1:13">
      <c r="A23" s="28"/>
      <c r="B23" s="29"/>
      <c r="C23" s="29"/>
      <c r="D23" s="73"/>
      <c r="E23" s="29"/>
      <c r="F23" s="87"/>
      <c r="G23" s="113" t="s">
        <v>69</v>
      </c>
      <c r="H23" s="121">
        <v>5000</v>
      </c>
      <c r="I23" s="114">
        <v>0.24</v>
      </c>
      <c r="J23" s="113">
        <f t="shared" si="1"/>
        <v>1200</v>
      </c>
      <c r="K23" s="120"/>
      <c r="L23" s="120"/>
    </row>
    <row r="24" ht="16.5" spans="1:13">
      <c r="A24" s="28"/>
      <c r="B24" s="29"/>
      <c r="C24" s="29"/>
      <c r="D24" s="73"/>
      <c r="E24" s="29"/>
      <c r="F24" s="87"/>
      <c r="G24" s="114" t="s">
        <v>22</v>
      </c>
      <c r="H24" s="121">
        <v>5000</v>
      </c>
      <c r="I24" s="114">
        <v>0.11</v>
      </c>
      <c r="J24" s="113">
        <f t="shared" si="1"/>
        <v>550</v>
      </c>
      <c r="K24" s="120"/>
      <c r="L24" s="123"/>
    </row>
    <row r="25" ht="16.5" spans="1:13">
      <c r="A25" s="28">
        <v>45819</v>
      </c>
      <c r="B25" s="29" t="s">
        <v>39</v>
      </c>
      <c r="C25" s="29">
        <v>81633</v>
      </c>
      <c r="D25" s="73" t="s">
        <v>82</v>
      </c>
      <c r="E25" s="29" t="s">
        <v>83</v>
      </c>
      <c r="F25" s="86" t="s">
        <v>68</v>
      </c>
      <c r="G25" s="35" t="s">
        <v>84</v>
      </c>
      <c r="H25" s="68">
        <v>10300</v>
      </c>
      <c r="I25" s="68">
        <v>1.07</v>
      </c>
      <c r="J25" s="35">
        <f t="shared" si="1"/>
        <v>11021</v>
      </c>
      <c r="K25" s="106"/>
      <c r="L25" s="108" t="s">
        <v>85</v>
      </c>
    </row>
    <row r="26" ht="16.5" spans="1:13">
      <c r="A26" s="28"/>
      <c r="B26" s="29"/>
      <c r="C26" s="29"/>
      <c r="D26" s="73"/>
      <c r="E26" s="29"/>
      <c r="F26" s="87"/>
      <c r="G26" s="35" t="s">
        <v>86</v>
      </c>
      <c r="H26" s="68">
        <v>103</v>
      </c>
      <c r="I26" s="68">
        <v>0</v>
      </c>
      <c r="J26" s="35">
        <f t="shared" si="1"/>
        <v>0</v>
      </c>
      <c r="K26" s="124"/>
      <c r="L26" s="108"/>
    </row>
    <row r="27" ht="16.5" spans="1:13">
      <c r="A27" s="28"/>
      <c r="B27" s="29"/>
      <c r="C27" s="29"/>
      <c r="D27" s="73"/>
      <c r="E27" s="29"/>
      <c r="F27" s="87"/>
      <c r="G27" s="35"/>
      <c r="H27" s="68"/>
      <c r="I27" s="68"/>
      <c r="J27" s="35"/>
      <c r="K27" s="124"/>
      <c r="L27" s="108"/>
    </row>
    <row r="28" ht="16.5" spans="1:13">
      <c r="A28" s="28"/>
      <c r="B28" s="29"/>
      <c r="C28" s="29"/>
      <c r="D28" s="73"/>
      <c r="E28" s="29"/>
      <c r="F28" s="87"/>
      <c r="G28" s="125" t="s">
        <v>69</v>
      </c>
      <c r="H28" s="126">
        <v>6300</v>
      </c>
      <c r="I28" s="34">
        <v>0.24</v>
      </c>
      <c r="J28" s="35">
        <f>H28*I28</f>
        <v>1512</v>
      </c>
      <c r="K28" s="124"/>
      <c r="L28" s="108"/>
    </row>
    <row r="29" ht="16.5" spans="1:13">
      <c r="A29" s="28"/>
      <c r="B29" s="29"/>
      <c r="C29" s="29"/>
      <c r="D29" s="73"/>
      <c r="E29" s="29"/>
      <c r="F29" s="87"/>
      <c r="G29" s="34" t="s">
        <v>22</v>
      </c>
      <c r="H29" s="34">
        <v>10000</v>
      </c>
      <c r="I29" s="34">
        <v>0.11</v>
      </c>
      <c r="J29" s="35">
        <f>H29*I29</f>
        <v>1100</v>
      </c>
      <c r="K29" s="124"/>
      <c r="L29" s="108"/>
      <c r="M29">
        <f>11021+2100+4124</f>
        <v>17245</v>
      </c>
    </row>
    <row r="30" ht="16.5" spans="1:13">
      <c r="A30" s="28"/>
      <c r="B30" s="29"/>
      <c r="C30" s="29"/>
      <c r="D30" s="73"/>
      <c r="E30" s="29"/>
      <c r="F30" s="127"/>
      <c r="G30" s="34" t="s">
        <v>87</v>
      </c>
      <c r="H30" s="34">
        <f>10000</f>
        <v>10000</v>
      </c>
      <c r="I30" s="34">
        <f>0.042*5</f>
        <v>0.21</v>
      </c>
      <c r="J30" s="35">
        <f>H30*I30</f>
        <v>2100</v>
      </c>
      <c r="K30" s="115"/>
      <c r="L30" s="116"/>
    </row>
    <row r="31" ht="16.5" spans="1:13">
      <c r="A31" s="28"/>
      <c r="B31" s="29"/>
      <c r="C31" s="29"/>
      <c r="D31" s="73"/>
      <c r="E31" s="5" t="s">
        <v>5</v>
      </c>
      <c r="F31" s="6" t="s">
        <v>6</v>
      </c>
      <c r="G31" s="7" t="s">
        <v>12</v>
      </c>
      <c r="H31" s="8" t="s">
        <v>13</v>
      </c>
      <c r="I31" s="9" t="s">
        <v>10</v>
      </c>
      <c r="J31" s="27" t="s">
        <v>51</v>
      </c>
      <c r="L31" s="128"/>
    </row>
    <row r="32" ht="16.5" spans="1:13">
      <c r="A32" s="28">
        <v>45825</v>
      </c>
      <c r="B32" s="28" t="s">
        <v>39</v>
      </c>
      <c r="C32" s="129" t="s">
        <v>88</v>
      </c>
      <c r="D32" s="130" t="s">
        <v>89</v>
      </c>
      <c r="E32" s="131" t="s">
        <v>90</v>
      </c>
      <c r="F32" s="131" t="s">
        <v>68</v>
      </c>
      <c r="G32" s="126" t="s">
        <v>91</v>
      </c>
      <c r="H32" s="126">
        <v>5826</v>
      </c>
      <c r="I32" s="126">
        <v>0.11</v>
      </c>
      <c r="J32" s="125">
        <f>H32*I32</f>
        <v>640.86</v>
      </c>
      <c r="K32" s="106"/>
      <c r="L32" s="107" t="s">
        <v>92</v>
      </c>
    </row>
    <row r="33" ht="16.5" spans="1:13">
      <c r="A33" s="28"/>
      <c r="B33" s="28"/>
      <c r="C33" s="129"/>
      <c r="D33" s="130"/>
      <c r="E33" s="131"/>
      <c r="F33" s="131" t="s">
        <v>93</v>
      </c>
      <c r="G33" s="126" t="s">
        <v>87</v>
      </c>
      <c r="H33" s="126">
        <f>4520</f>
        <v>4520</v>
      </c>
      <c r="I33" s="126">
        <f>0.042*5</f>
        <v>0.21</v>
      </c>
      <c r="J33" s="125">
        <f>H33*I33</f>
        <v>949.2</v>
      </c>
      <c r="K33" s="124"/>
      <c r="L33" s="108"/>
    </row>
    <row r="34" ht="16.5" spans="1:13">
      <c r="A34" s="28"/>
      <c r="B34" s="28"/>
      <c r="C34" s="129"/>
      <c r="D34" s="130"/>
      <c r="E34" s="131"/>
      <c r="F34" s="131" t="s">
        <v>94</v>
      </c>
      <c r="G34" s="126" t="s">
        <v>84</v>
      </c>
      <c r="H34" s="126">
        <v>6001</v>
      </c>
      <c r="I34" s="132">
        <v>1.07</v>
      </c>
      <c r="J34" s="125">
        <f>H34*I34</f>
        <v>6421.07</v>
      </c>
      <c r="K34" s="124"/>
      <c r="L34" s="108"/>
    </row>
    <row r="35" ht="16.5" spans="1:13">
      <c r="A35" s="28"/>
      <c r="B35" s="28"/>
      <c r="C35" s="129"/>
      <c r="D35" s="130"/>
      <c r="E35" s="131"/>
      <c r="F35" s="131"/>
      <c r="G35" s="126" t="s">
        <v>86</v>
      </c>
      <c r="H35" s="126">
        <v>60</v>
      </c>
      <c r="I35" s="132">
        <v>0</v>
      </c>
      <c r="J35" s="125">
        <f>H35*I35</f>
        <v>0</v>
      </c>
      <c r="K35" s="124"/>
      <c r="L35" s="108"/>
      <c r="M35">
        <f>6421.07+2100+640.86</f>
        <v>9161.93</v>
      </c>
    </row>
    <row r="36" ht="33" spans="1:13">
      <c r="A36" s="28">
        <v>45825</v>
      </c>
      <c r="B36" s="29" t="s">
        <v>39</v>
      </c>
      <c r="C36" s="133" t="s">
        <v>43</v>
      </c>
      <c r="D36" s="134" t="s">
        <v>95</v>
      </c>
      <c r="E36" s="135" t="s">
        <v>96</v>
      </c>
      <c r="F36" s="131" t="s">
        <v>94</v>
      </c>
      <c r="G36" s="126" t="s">
        <v>87</v>
      </c>
      <c r="H36" s="126">
        <f>1306</f>
        <v>1306</v>
      </c>
      <c r="I36" s="126">
        <f>0.042*5</f>
        <v>0.21</v>
      </c>
      <c r="J36" s="125">
        <f>H36*I36</f>
        <v>274.26</v>
      </c>
      <c r="K36" s="115"/>
      <c r="L36" s="116"/>
    </row>
    <row r="37" ht="16.5" spans="1:13">
      <c r="A37" s="28"/>
      <c r="B37" s="29"/>
      <c r="C37" s="133"/>
      <c r="D37" s="134"/>
      <c r="E37" s="135"/>
      <c r="F37" s="136"/>
      <c r="G37" s="126"/>
      <c r="H37" s="126"/>
      <c r="I37" s="126" t="s">
        <v>49</v>
      </c>
      <c r="J37" s="125">
        <f>SUM(J32:J36)</f>
        <v>8285.39</v>
      </c>
    </row>
    <row r="38" ht="16.5" spans="1:13">
      <c r="A38" s="28">
        <v>45832</v>
      </c>
      <c r="B38" s="29" t="s">
        <v>39</v>
      </c>
      <c r="C38" s="29" t="s">
        <v>97</v>
      </c>
      <c r="D38" s="73" t="s">
        <v>98</v>
      </c>
      <c r="E38" s="29" t="s">
        <v>99</v>
      </c>
      <c r="F38" s="28" t="s">
        <v>100</v>
      </c>
      <c r="G38" s="35" t="s">
        <v>84</v>
      </c>
      <c r="H38" s="34">
        <v>10300</v>
      </c>
      <c r="I38" s="34">
        <v>1.07</v>
      </c>
      <c r="J38" s="35">
        <f>H38*I38</f>
        <v>11021</v>
      </c>
      <c r="K38" s="117"/>
      <c r="L38" s="117" t="s">
        <v>101</v>
      </c>
    </row>
    <row r="39" ht="16.5" spans="1:13">
      <c r="A39" s="28"/>
      <c r="B39" s="29"/>
      <c r="C39" s="29"/>
      <c r="D39" s="73"/>
      <c r="E39" s="29"/>
      <c r="F39" s="28"/>
      <c r="G39" s="35" t="s">
        <v>86</v>
      </c>
      <c r="H39" s="34">
        <v>103</v>
      </c>
      <c r="I39" s="34">
        <v>0</v>
      </c>
      <c r="J39" s="35">
        <f t="shared" ref="J39:J46" si="2">H39*I39</f>
        <v>0</v>
      </c>
      <c r="K39" s="120"/>
      <c r="L39" s="120"/>
    </row>
    <row r="40" ht="16.5" spans="1:13">
      <c r="A40" s="28"/>
      <c r="B40" s="29"/>
      <c r="C40" s="29"/>
      <c r="D40" s="73"/>
      <c r="E40" s="29"/>
      <c r="F40" s="28" t="s">
        <v>102</v>
      </c>
      <c r="G40" s="125" t="s">
        <v>69</v>
      </c>
      <c r="H40" s="126">
        <f>6300+6300</f>
        <v>12600</v>
      </c>
      <c r="I40" s="34">
        <v>0.24</v>
      </c>
      <c r="J40" s="35">
        <f t="shared" si="2"/>
        <v>3024</v>
      </c>
      <c r="K40" s="120"/>
      <c r="L40" s="120"/>
      <c r="M40">
        <f>11021+2100+4124</f>
        <v>17245</v>
      </c>
    </row>
    <row r="41" ht="16.5" spans="1:13">
      <c r="A41" s="28"/>
      <c r="B41" s="29"/>
      <c r="C41" s="29"/>
      <c r="D41" s="73"/>
      <c r="E41" s="29"/>
      <c r="F41" s="28"/>
      <c r="G41" s="34" t="s">
        <v>22</v>
      </c>
      <c r="H41" s="34">
        <v>10000</v>
      </c>
      <c r="I41" s="34">
        <v>0.11</v>
      </c>
      <c r="J41" s="35">
        <f t="shared" si="2"/>
        <v>1100</v>
      </c>
      <c r="K41" s="120"/>
      <c r="L41" s="120"/>
    </row>
    <row r="42" ht="16.5" spans="1:13">
      <c r="A42" s="28"/>
      <c r="B42" s="29"/>
      <c r="C42" s="29"/>
      <c r="D42" s="73"/>
      <c r="E42" s="29"/>
      <c r="F42" s="28" t="s">
        <v>100</v>
      </c>
      <c r="G42" s="34" t="s">
        <v>87</v>
      </c>
      <c r="H42" s="34">
        <f>10000</f>
        <v>10000</v>
      </c>
      <c r="I42" s="34">
        <f>0.042*5</f>
        <v>0.21</v>
      </c>
      <c r="J42" s="35">
        <f t="shared" si="2"/>
        <v>2100</v>
      </c>
      <c r="K42" s="123"/>
      <c r="L42" s="123"/>
    </row>
    <row r="43" ht="16.5" spans="1:13">
      <c r="A43" s="28"/>
      <c r="B43" s="29"/>
      <c r="C43" s="29"/>
      <c r="D43" s="73"/>
      <c r="E43" s="94" t="s">
        <v>103</v>
      </c>
      <c r="F43" s="86" t="s">
        <v>104</v>
      </c>
      <c r="G43" s="126" t="s">
        <v>21</v>
      </c>
      <c r="H43" s="126">
        <f>3000+3000+3000</f>
        <v>9000</v>
      </c>
      <c r="I43" s="34">
        <v>0.24</v>
      </c>
      <c r="J43" s="35">
        <f t="shared" si="2"/>
        <v>2160</v>
      </c>
      <c r="K43" s="120"/>
      <c r="L43" s="120" t="s">
        <v>105</v>
      </c>
    </row>
    <row r="44" ht="16.5" spans="1:13">
      <c r="A44" s="28"/>
      <c r="B44" s="29"/>
      <c r="C44" s="29"/>
      <c r="D44" s="73"/>
      <c r="E44" s="102"/>
      <c r="F44" s="86" t="s">
        <v>104</v>
      </c>
      <c r="G44" s="126" t="s">
        <v>21</v>
      </c>
      <c r="H44" s="126">
        <v>2000</v>
      </c>
      <c r="I44" s="34">
        <v>0.24</v>
      </c>
      <c r="J44" s="35">
        <f t="shared" si="2"/>
        <v>480</v>
      </c>
      <c r="K44" s="120"/>
      <c r="L44" s="120"/>
    </row>
    <row r="45" ht="16.5" spans="1:13">
      <c r="A45" s="28"/>
      <c r="B45" s="29"/>
      <c r="C45" s="29"/>
      <c r="D45" s="73"/>
      <c r="E45" s="102" t="s">
        <v>106</v>
      </c>
      <c r="F45" s="28" t="s">
        <v>104</v>
      </c>
      <c r="G45" s="125" t="s">
        <v>69</v>
      </c>
      <c r="H45" s="125">
        <f>1200+2000</f>
        <v>3200</v>
      </c>
      <c r="I45" s="34">
        <v>0.24</v>
      </c>
      <c r="J45" s="35">
        <f t="shared" si="2"/>
        <v>768</v>
      </c>
      <c r="K45" s="120"/>
      <c r="L45" s="120"/>
    </row>
    <row r="46" ht="16.5" spans="1:13">
      <c r="A46" s="28"/>
      <c r="B46" s="29"/>
      <c r="C46" s="29"/>
      <c r="D46" s="73"/>
      <c r="E46" s="29" t="s">
        <v>107</v>
      </c>
      <c r="F46" s="28" t="s">
        <v>104</v>
      </c>
      <c r="G46" s="125" t="s">
        <v>69</v>
      </c>
      <c r="H46" s="126">
        <f>6300+6300+6300</f>
        <v>18900</v>
      </c>
      <c r="I46" s="34">
        <v>0.24</v>
      </c>
      <c r="J46" s="35">
        <f t="shared" si="2"/>
        <v>4536</v>
      </c>
      <c r="K46" s="123"/>
      <c r="L46" s="123"/>
      <c r="M46">
        <v>7704</v>
      </c>
    </row>
    <row r="47" ht="16.5" spans="1:13">
      <c r="A47" s="28"/>
      <c r="B47" s="29"/>
      <c r="C47" s="29"/>
      <c r="D47" s="73"/>
      <c r="E47" s="29"/>
      <c r="F47" s="28"/>
      <c r="G47" s="34"/>
      <c r="H47" s="34"/>
      <c r="I47" s="34"/>
      <c r="J47" s="35"/>
      <c r="K47" s="25"/>
      <c r="L47" s="25"/>
    </row>
    <row r="48" spans="1:13">
      <c r="A48" s="28">
        <v>45841</v>
      </c>
      <c r="B48" s="28" t="s">
        <v>39</v>
      </c>
      <c r="C48" s="28" t="s">
        <v>108</v>
      </c>
      <c r="D48" s="83" t="s">
        <v>109</v>
      </c>
      <c r="E48" s="28" t="s">
        <v>110</v>
      </c>
    </row>
    <row r="49" ht="34" customHeight="1" spans="1:15">
      <c r="A49" s="28"/>
      <c r="B49" s="28"/>
      <c r="C49" s="28"/>
      <c r="D49" s="83"/>
      <c r="E49" s="28"/>
      <c r="F49" s="137" t="s">
        <v>111</v>
      </c>
      <c r="G49" s="114" t="s">
        <v>84</v>
      </c>
      <c r="H49" s="114">
        <v>5150</v>
      </c>
      <c r="I49" s="119">
        <v>1.07</v>
      </c>
      <c r="J49" s="113">
        <f t="shared" ref="J49:J54" si="3">H49*I49</f>
        <v>5510.5</v>
      </c>
      <c r="K49" s="117"/>
      <c r="L49" s="138" t="s">
        <v>112</v>
      </c>
    </row>
    <row r="50" ht="42" customHeight="1" spans="1:15">
      <c r="A50" s="28"/>
      <c r="B50" s="28"/>
      <c r="C50" s="28"/>
      <c r="D50" s="83"/>
      <c r="E50" s="28"/>
      <c r="F50" s="139"/>
      <c r="G50" s="114" t="s">
        <v>86</v>
      </c>
      <c r="H50" s="114">
        <v>52</v>
      </c>
      <c r="I50" s="119">
        <v>0</v>
      </c>
      <c r="J50" s="113">
        <f t="shared" si="3"/>
        <v>0</v>
      </c>
      <c r="K50" s="120"/>
      <c r="L50" s="138"/>
    </row>
    <row r="51" ht="27" customHeight="1" spans="1:15">
      <c r="A51" s="28"/>
      <c r="B51" s="28"/>
      <c r="C51" s="28"/>
      <c r="D51" s="83"/>
      <c r="E51" s="28"/>
      <c r="F51" s="137" t="s">
        <v>111</v>
      </c>
      <c r="G51" s="114" t="s">
        <v>87</v>
      </c>
      <c r="H51" s="114">
        <f>5000</f>
        <v>5000</v>
      </c>
      <c r="I51" s="114">
        <f>0.042*5</f>
        <v>0.21</v>
      </c>
      <c r="J51" s="113">
        <f t="shared" si="3"/>
        <v>1050</v>
      </c>
      <c r="K51" s="120"/>
      <c r="L51" s="138"/>
      <c r="M51">
        <f>11315.24+3322.41+3004.39</f>
        <v>17642.04</v>
      </c>
    </row>
    <row r="52" ht="38" customHeight="1" spans="1:15">
      <c r="A52" s="28"/>
      <c r="B52" s="28"/>
      <c r="C52" s="28"/>
      <c r="D52" s="83"/>
      <c r="E52" s="28"/>
      <c r="F52" s="137" t="s">
        <v>111</v>
      </c>
      <c r="G52" s="114" t="s">
        <v>91</v>
      </c>
      <c r="H52" s="114">
        <v>5000</v>
      </c>
      <c r="I52" s="114">
        <v>0.11</v>
      </c>
      <c r="J52" s="113">
        <f t="shared" si="3"/>
        <v>550</v>
      </c>
      <c r="K52" s="123"/>
      <c r="L52" s="138"/>
    </row>
    <row r="53" ht="45" customHeight="1" spans="1:15">
      <c r="A53" s="28">
        <v>45842</v>
      </c>
      <c r="B53" s="29" t="s">
        <v>39</v>
      </c>
      <c r="C53" s="29" t="s">
        <v>113</v>
      </c>
      <c r="D53" s="73" t="s">
        <v>114</v>
      </c>
      <c r="E53" s="29" t="s">
        <v>115</v>
      </c>
      <c r="F53" s="86" t="s">
        <v>111</v>
      </c>
      <c r="G53" s="35" t="s">
        <v>84</v>
      </c>
      <c r="H53" s="140">
        <v>18334</v>
      </c>
      <c r="I53" s="68">
        <v>1.07</v>
      </c>
      <c r="J53" s="35">
        <f t="shared" si="3"/>
        <v>19617.38</v>
      </c>
      <c r="K53" s="141"/>
      <c r="L53" s="138" t="s">
        <v>116</v>
      </c>
      <c r="N53" t="s">
        <v>117</v>
      </c>
    </row>
    <row r="54" ht="36" customHeight="1" spans="1:15">
      <c r="A54" s="28"/>
      <c r="B54" s="29"/>
      <c r="C54" s="29"/>
      <c r="D54" s="73"/>
      <c r="E54" s="29"/>
      <c r="F54" s="87"/>
      <c r="G54" s="35" t="s">
        <v>86</v>
      </c>
      <c r="H54" s="68">
        <v>183</v>
      </c>
      <c r="I54" s="68">
        <v>0</v>
      </c>
      <c r="J54" s="35">
        <f t="shared" si="3"/>
        <v>0</v>
      </c>
      <c r="K54" s="141"/>
      <c r="L54" s="138"/>
      <c r="M54">
        <f>19617.38+3738+1958</f>
        <v>25313.38</v>
      </c>
    </row>
    <row r="55" ht="37" customHeight="1" spans="1:15">
      <c r="A55" s="28"/>
      <c r="B55" s="29"/>
      <c r="C55" s="29"/>
      <c r="D55" s="73"/>
      <c r="E55" s="29"/>
      <c r="F55" s="86" t="s">
        <v>111</v>
      </c>
      <c r="G55" s="34" t="s">
        <v>22</v>
      </c>
      <c r="H55" s="34">
        <v>17800</v>
      </c>
      <c r="I55" s="34">
        <v>0.11</v>
      </c>
      <c r="J55" s="35">
        <f t="shared" ref="J55:J66" si="4">H55*I55</f>
        <v>1958</v>
      </c>
      <c r="K55" s="141"/>
      <c r="L55" s="138"/>
    </row>
    <row r="56" ht="41" customHeight="1" spans="1:15">
      <c r="A56" s="28"/>
      <c r="B56" s="29"/>
      <c r="C56" s="29"/>
      <c r="D56" s="73"/>
      <c r="E56" s="29"/>
      <c r="F56" s="87"/>
      <c r="G56" s="34" t="s">
        <v>87</v>
      </c>
      <c r="H56" s="34">
        <f>17800</f>
        <v>17800</v>
      </c>
      <c r="I56" s="34">
        <f>0.042*5</f>
        <v>0.21</v>
      </c>
      <c r="J56" s="35">
        <f t="shared" si="4"/>
        <v>3738</v>
      </c>
      <c r="K56" s="142"/>
      <c r="L56" s="138"/>
    </row>
    <row r="57" ht="16.5" spans="1:15">
      <c r="A57" s="28">
        <v>45849</v>
      </c>
      <c r="B57" s="28" t="s">
        <v>39</v>
      </c>
      <c r="C57" s="143">
        <v>85358</v>
      </c>
      <c r="D57" s="83" t="s">
        <v>118</v>
      </c>
      <c r="E57" s="28" t="s">
        <v>119</v>
      </c>
      <c r="F57" s="28" t="s">
        <v>111</v>
      </c>
      <c r="G57" s="34" t="s">
        <v>120</v>
      </c>
      <c r="H57" s="34">
        <f>2000*1.03</f>
        <v>2060</v>
      </c>
      <c r="I57" s="101">
        <v>1.07</v>
      </c>
      <c r="J57" s="35">
        <f t="shared" si="4"/>
        <v>2204.2</v>
      </c>
      <c r="K57" s="144"/>
      <c r="L57" s="138" t="s">
        <v>121</v>
      </c>
    </row>
    <row r="58" ht="16.5" spans="1:15">
      <c r="A58" s="28"/>
      <c r="B58" s="28"/>
      <c r="C58" s="85"/>
      <c r="D58" s="83"/>
      <c r="E58" s="28"/>
      <c r="F58" s="28"/>
      <c r="G58" s="34" t="s">
        <v>86</v>
      </c>
      <c r="H58" s="34">
        <f>2000*0.01</f>
        <v>20</v>
      </c>
      <c r="I58" s="101">
        <v>0</v>
      </c>
      <c r="J58" s="35">
        <f t="shared" si="4"/>
        <v>0</v>
      </c>
      <c r="K58" s="144"/>
      <c r="L58" s="138"/>
    </row>
    <row r="59" ht="16.5" spans="1:15">
      <c r="A59" s="28"/>
      <c r="B59" s="28"/>
      <c r="C59" s="85"/>
      <c r="D59" s="83"/>
      <c r="E59" s="28"/>
      <c r="F59" s="87" t="s">
        <v>122</v>
      </c>
      <c r="G59" s="34" t="s">
        <v>87</v>
      </c>
      <c r="H59" s="34">
        <f>2000</f>
        <v>2000</v>
      </c>
      <c r="I59" s="98">
        <f>0.042*5</f>
        <v>0.21</v>
      </c>
      <c r="J59" s="35">
        <f t="shared" si="4"/>
        <v>420</v>
      </c>
      <c r="K59" s="144"/>
      <c r="L59" s="138"/>
      <c r="O59">
        <v>111444.88</v>
      </c>
    </row>
    <row r="60" ht="16.5" spans="1:15">
      <c r="A60" s="28"/>
      <c r="B60" s="28"/>
      <c r="C60" s="85"/>
      <c r="D60" s="83"/>
      <c r="E60" s="28"/>
      <c r="F60" s="87"/>
      <c r="G60" s="34" t="s">
        <v>91</v>
      </c>
      <c r="H60" s="34">
        <v>2000</v>
      </c>
      <c r="I60" s="98">
        <v>0.11</v>
      </c>
      <c r="J60" s="35">
        <f t="shared" si="4"/>
        <v>220</v>
      </c>
      <c r="K60" s="144"/>
      <c r="L60" s="138"/>
    </row>
    <row r="61" ht="16.5" spans="1:15">
      <c r="A61" s="28">
        <v>45849</v>
      </c>
      <c r="B61" s="29" t="s">
        <v>39</v>
      </c>
      <c r="C61" s="29">
        <v>85359</v>
      </c>
      <c r="D61" s="73" t="s">
        <v>123</v>
      </c>
      <c r="E61" s="29" t="s">
        <v>124</v>
      </c>
      <c r="F61" s="28" t="s">
        <v>111</v>
      </c>
      <c r="G61" s="34" t="s">
        <v>84</v>
      </c>
      <c r="H61" s="34">
        <f>1000*1.03</f>
        <v>1030</v>
      </c>
      <c r="I61" s="98">
        <v>1.07</v>
      </c>
      <c r="J61" s="35">
        <f t="shared" si="4"/>
        <v>1102.1</v>
      </c>
      <c r="K61" s="144"/>
      <c r="L61" s="138"/>
      <c r="M61">
        <f>3492.48+630</f>
        <v>4122.48</v>
      </c>
    </row>
    <row r="62" ht="16.5" spans="1:15">
      <c r="A62" s="28"/>
      <c r="B62" s="28"/>
      <c r="C62" s="85"/>
      <c r="D62" s="83"/>
      <c r="E62" s="28"/>
      <c r="F62" s="28"/>
      <c r="G62" s="34" t="s">
        <v>86</v>
      </c>
      <c r="H62" s="34">
        <f>1000*0.01</f>
        <v>10</v>
      </c>
      <c r="I62" s="98">
        <v>0</v>
      </c>
      <c r="J62" s="35">
        <f t="shared" si="4"/>
        <v>0</v>
      </c>
      <c r="K62" s="144"/>
      <c r="L62" s="138"/>
    </row>
    <row r="63" ht="16.5" spans="1:15">
      <c r="A63" s="28"/>
      <c r="B63" s="28"/>
      <c r="C63" s="85"/>
      <c r="D63" s="83"/>
      <c r="E63" s="28"/>
      <c r="F63" s="28" t="s">
        <v>122</v>
      </c>
      <c r="G63" s="34" t="s">
        <v>87</v>
      </c>
      <c r="H63" s="34">
        <f>1000</f>
        <v>1000</v>
      </c>
      <c r="I63" s="98">
        <f>0.042*5</f>
        <v>0.21</v>
      </c>
      <c r="J63" s="35">
        <f t="shared" si="4"/>
        <v>210</v>
      </c>
      <c r="K63" s="144"/>
      <c r="L63" s="138"/>
    </row>
    <row r="64" ht="48" customHeight="1" spans="1:15">
      <c r="A64" s="28"/>
      <c r="B64" s="29"/>
      <c r="C64" s="29"/>
      <c r="D64" s="73"/>
      <c r="E64" s="29"/>
      <c r="F64" s="28"/>
      <c r="G64" s="34" t="s">
        <v>91</v>
      </c>
      <c r="H64" s="34">
        <f>1000</f>
        <v>1000</v>
      </c>
      <c r="I64" s="98">
        <v>0.11</v>
      </c>
      <c r="J64" s="35">
        <f t="shared" si="4"/>
        <v>110</v>
      </c>
      <c r="K64" s="144"/>
      <c r="L64" s="138"/>
    </row>
    <row r="65" ht="16.5" spans="1:13">
      <c r="A65" s="28">
        <v>45866</v>
      </c>
      <c r="B65" s="143" t="s">
        <v>39</v>
      </c>
      <c r="C65" s="143" t="s">
        <v>125</v>
      </c>
      <c r="D65" s="145" t="s">
        <v>126</v>
      </c>
      <c r="E65" s="143" t="s">
        <v>127</v>
      </c>
      <c r="F65" s="86" t="s">
        <v>128</v>
      </c>
      <c r="G65" s="96" t="s">
        <v>69</v>
      </c>
      <c r="H65" s="101">
        <v>19026</v>
      </c>
      <c r="I65" s="101">
        <v>0.24</v>
      </c>
      <c r="J65" s="35">
        <f t="shared" si="4"/>
        <v>4566.24</v>
      </c>
      <c r="K65" s="117"/>
      <c r="L65" s="144" t="s">
        <v>129</v>
      </c>
      <c r="M65">
        <f>20968.79+3992.73</f>
        <v>24961.52</v>
      </c>
    </row>
    <row r="66" ht="47" customHeight="1" spans="1:13">
      <c r="A66" s="28"/>
      <c r="B66" s="143"/>
      <c r="C66" s="143"/>
      <c r="D66" s="145"/>
      <c r="E66" s="143"/>
      <c r="F66" s="87"/>
      <c r="G66" s="96" t="s">
        <v>91</v>
      </c>
      <c r="H66" s="101">
        <v>19026</v>
      </c>
      <c r="I66" s="101">
        <v>0.11</v>
      </c>
      <c r="J66" s="35">
        <f t="shared" si="4"/>
        <v>2092.86</v>
      </c>
      <c r="K66" s="120"/>
      <c r="L66" s="144"/>
    </row>
    <row r="67" ht="42" customHeight="1" spans="1:13">
      <c r="A67" s="28"/>
      <c r="B67" s="143"/>
      <c r="C67" s="143"/>
      <c r="D67" s="145"/>
      <c r="E67" s="143"/>
      <c r="F67" s="28" t="s">
        <v>130</v>
      </c>
      <c r="G67" s="96" t="s">
        <v>131</v>
      </c>
      <c r="H67" s="97">
        <v>19597</v>
      </c>
      <c r="I67" s="96">
        <v>1.07</v>
      </c>
      <c r="J67" s="35">
        <f t="shared" ref="J67:J91" si="5">H67*I67</f>
        <v>20968.79</v>
      </c>
      <c r="K67" s="123"/>
      <c r="L67" s="144"/>
    </row>
    <row r="68" ht="33" customHeight="1" spans="1:13">
      <c r="A68" s="28"/>
      <c r="B68" s="143"/>
      <c r="C68" s="143"/>
      <c r="D68" s="145"/>
      <c r="E68" s="143"/>
      <c r="F68" s="28"/>
      <c r="G68" s="96" t="s">
        <v>80</v>
      </c>
      <c r="H68" s="96">
        <v>190</v>
      </c>
      <c r="I68" s="96">
        <v>0</v>
      </c>
      <c r="J68" s="35">
        <f t="shared" si="5"/>
        <v>0</v>
      </c>
      <c r="K68" s="120"/>
      <c r="L68" s="146" t="s">
        <v>132</v>
      </c>
    </row>
    <row r="69" ht="24" customHeight="1" spans="1:13">
      <c r="A69" s="28"/>
      <c r="B69" s="143"/>
      <c r="C69" s="143"/>
      <c r="D69" s="145"/>
      <c r="E69" s="143"/>
      <c r="F69" s="28"/>
      <c r="G69" s="96" t="s">
        <v>81</v>
      </c>
      <c r="H69" s="96">
        <v>55</v>
      </c>
      <c r="I69" s="96">
        <v>0</v>
      </c>
      <c r="J69" s="35">
        <f t="shared" si="5"/>
        <v>0</v>
      </c>
      <c r="K69" s="120"/>
      <c r="L69" s="147"/>
      <c r="M69">
        <v>6659.1</v>
      </c>
    </row>
    <row r="70" ht="31" customHeight="1" spans="1:13">
      <c r="A70" s="28"/>
      <c r="B70" s="143"/>
      <c r="C70" s="143"/>
      <c r="D70" s="145"/>
      <c r="E70" s="143"/>
      <c r="F70" s="28" t="s">
        <v>122</v>
      </c>
      <c r="G70" s="98" t="s">
        <v>87</v>
      </c>
      <c r="H70" s="98">
        <f>H66</f>
        <v>19026</v>
      </c>
      <c r="I70" s="98">
        <f>0.042*5</f>
        <v>0.21</v>
      </c>
      <c r="J70" s="35">
        <f t="shared" si="5"/>
        <v>3995.46</v>
      </c>
      <c r="K70" s="120"/>
      <c r="L70" s="147"/>
    </row>
    <row r="71" ht="16.5" spans="1:13">
      <c r="A71" s="28">
        <v>45867</v>
      </c>
      <c r="B71" s="143" t="s">
        <v>39</v>
      </c>
      <c r="C71" s="143" t="s">
        <v>133</v>
      </c>
      <c r="D71" s="145" t="s">
        <v>134</v>
      </c>
      <c r="E71" s="143" t="s">
        <v>135</v>
      </c>
      <c r="F71" s="86" t="s">
        <v>128</v>
      </c>
      <c r="G71" s="96" t="s">
        <v>84</v>
      </c>
      <c r="H71" s="98">
        <v>6490</v>
      </c>
      <c r="I71" s="98">
        <v>1.07</v>
      </c>
      <c r="J71" s="35">
        <f t="shared" si="5"/>
        <v>6944.3</v>
      </c>
      <c r="K71" s="117"/>
      <c r="L71" s="148" t="s">
        <v>136</v>
      </c>
    </row>
    <row r="72" ht="16.5" spans="1:13">
      <c r="A72" s="28"/>
      <c r="B72" s="143"/>
      <c r="C72" s="143"/>
      <c r="D72" s="145"/>
      <c r="E72" s="143"/>
      <c r="F72" s="87"/>
      <c r="G72" s="96" t="s">
        <v>86</v>
      </c>
      <c r="H72" s="98">
        <v>65</v>
      </c>
      <c r="I72" s="98">
        <v>0</v>
      </c>
      <c r="J72" s="35">
        <f t="shared" si="5"/>
        <v>0</v>
      </c>
      <c r="K72" s="120"/>
      <c r="L72" s="149"/>
    </row>
    <row r="73" ht="16.5" spans="1:13">
      <c r="A73" s="28"/>
      <c r="B73" s="143"/>
      <c r="C73" s="143"/>
      <c r="D73" s="145"/>
      <c r="E73" s="143"/>
      <c r="F73" s="87"/>
      <c r="G73" s="98" t="s">
        <v>22</v>
      </c>
      <c r="H73" s="98">
        <v>6300</v>
      </c>
      <c r="I73" s="98">
        <v>0.11</v>
      </c>
      <c r="J73" s="35">
        <f t="shared" si="5"/>
        <v>693</v>
      </c>
      <c r="K73" s="120"/>
      <c r="L73" s="149"/>
    </row>
    <row r="74" ht="16.5" spans="1:13">
      <c r="A74" s="28"/>
      <c r="B74" s="143"/>
      <c r="C74" s="143"/>
      <c r="D74" s="145"/>
      <c r="E74" s="143"/>
      <c r="F74" s="87"/>
      <c r="G74" s="98" t="s">
        <v>87</v>
      </c>
      <c r="H74" s="98">
        <f>6300</f>
        <v>6300</v>
      </c>
      <c r="I74" s="98">
        <f>0.042*5</f>
        <v>0.21</v>
      </c>
      <c r="J74" s="35">
        <f t="shared" si="5"/>
        <v>1323</v>
      </c>
      <c r="K74" s="120"/>
      <c r="L74" s="149"/>
      <c r="M74">
        <f>13888.6+2646+5796</f>
        <v>22330.6</v>
      </c>
    </row>
    <row r="75" ht="16.5" spans="1:13">
      <c r="A75" s="28"/>
      <c r="B75" s="143"/>
      <c r="C75" s="143"/>
      <c r="D75" s="145"/>
      <c r="E75" s="143"/>
      <c r="F75" s="87"/>
      <c r="G75" s="96" t="s">
        <v>69</v>
      </c>
      <c r="H75" s="150">
        <v>17000</v>
      </c>
      <c r="I75" s="98">
        <v>0.24</v>
      </c>
      <c r="J75" s="35">
        <f t="shared" si="5"/>
        <v>4080</v>
      </c>
      <c r="K75" s="120"/>
      <c r="L75" s="149"/>
    </row>
    <row r="76" ht="16.5" spans="1:13">
      <c r="A76" s="28"/>
      <c r="B76" s="143"/>
      <c r="C76" s="143"/>
      <c r="D76" s="145"/>
      <c r="E76" s="143"/>
      <c r="F76" s="87"/>
      <c r="G76" s="96" t="s">
        <v>120</v>
      </c>
      <c r="H76" s="98">
        <v>6489</v>
      </c>
      <c r="I76" s="98">
        <v>1.07</v>
      </c>
      <c r="J76" s="35">
        <f t="shared" si="5"/>
        <v>6943.23</v>
      </c>
      <c r="K76" s="120"/>
      <c r="L76" s="149"/>
    </row>
    <row r="77" ht="16.5" spans="1:13">
      <c r="A77" s="28"/>
      <c r="B77" s="143"/>
      <c r="C77" s="143"/>
      <c r="D77" s="145"/>
      <c r="E77" s="143"/>
      <c r="F77" s="87"/>
      <c r="G77" s="96" t="s">
        <v>86</v>
      </c>
      <c r="H77" s="98">
        <v>63</v>
      </c>
      <c r="I77" s="98">
        <v>0</v>
      </c>
      <c r="J77" s="35">
        <f t="shared" si="5"/>
        <v>0</v>
      </c>
      <c r="K77" s="120"/>
      <c r="L77" s="149"/>
    </row>
    <row r="78" ht="16.5" spans="1:13">
      <c r="A78" s="28"/>
      <c r="B78" s="143"/>
      <c r="C78" s="143"/>
      <c r="D78" s="145"/>
      <c r="E78" s="143"/>
      <c r="F78" s="87"/>
      <c r="G78" s="98" t="s">
        <v>22</v>
      </c>
      <c r="H78" s="98">
        <v>6300</v>
      </c>
      <c r="I78" s="98">
        <v>0.11</v>
      </c>
      <c r="J78" s="35">
        <f t="shared" si="5"/>
        <v>693</v>
      </c>
      <c r="K78" s="120"/>
      <c r="L78" s="149"/>
    </row>
    <row r="79" ht="16.5" spans="1:13">
      <c r="A79" s="28"/>
      <c r="B79" s="143"/>
      <c r="C79" s="143"/>
      <c r="D79" s="145"/>
      <c r="E79" s="143"/>
      <c r="F79" s="127"/>
      <c r="G79" s="98" t="s">
        <v>87</v>
      </c>
      <c r="H79" s="98">
        <f>6300</f>
        <v>6300</v>
      </c>
      <c r="I79" s="98">
        <f>0.042*5</f>
        <v>0.21</v>
      </c>
      <c r="J79" s="35">
        <f t="shared" si="5"/>
        <v>1323</v>
      </c>
      <c r="K79" s="120"/>
      <c r="L79" s="149"/>
    </row>
    <row r="80" ht="16.5" spans="1:13">
      <c r="A80" s="28">
        <v>45849</v>
      </c>
      <c r="B80" s="28" t="s">
        <v>39</v>
      </c>
      <c r="C80" s="85"/>
      <c r="D80" s="83" t="s">
        <v>137</v>
      </c>
      <c r="E80" s="28" t="s">
        <v>138</v>
      </c>
      <c r="F80" s="86" t="s">
        <v>122</v>
      </c>
      <c r="G80" s="34" t="s">
        <v>120</v>
      </c>
      <c r="H80" s="34">
        <v>1062</v>
      </c>
      <c r="I80" s="101">
        <v>1.07</v>
      </c>
      <c r="J80" s="35">
        <f t="shared" si="5"/>
        <v>1136.34</v>
      </c>
      <c r="K80" s="117"/>
      <c r="L80" s="146" t="s">
        <v>139</v>
      </c>
    </row>
    <row r="81" ht="16.5" spans="1:13">
      <c r="A81" s="28"/>
      <c r="B81" s="28"/>
      <c r="C81" s="85"/>
      <c r="D81" s="83"/>
      <c r="E81" s="28"/>
      <c r="F81" s="87"/>
      <c r="G81" s="34" t="s">
        <v>86</v>
      </c>
      <c r="H81" s="34">
        <v>11</v>
      </c>
      <c r="I81" s="101">
        <v>0</v>
      </c>
      <c r="J81" s="35">
        <f t="shared" si="5"/>
        <v>0</v>
      </c>
      <c r="K81" s="120"/>
      <c r="L81" s="147"/>
    </row>
    <row r="82" ht="16.5" spans="1:13">
      <c r="A82" s="28">
        <v>45870</v>
      </c>
      <c r="B82" s="28" t="s">
        <v>39</v>
      </c>
      <c r="C82" s="143">
        <v>86578</v>
      </c>
      <c r="D82" s="83" t="s">
        <v>140</v>
      </c>
      <c r="E82" s="28" t="s">
        <v>141</v>
      </c>
      <c r="F82" s="86" t="s">
        <v>128</v>
      </c>
      <c r="G82" s="34" t="s">
        <v>84</v>
      </c>
      <c r="H82" s="34">
        <v>3264</v>
      </c>
      <c r="I82" s="101">
        <v>1.07</v>
      </c>
      <c r="J82" s="35">
        <f t="shared" si="5"/>
        <v>3492.48</v>
      </c>
      <c r="K82" s="120"/>
      <c r="L82" s="147"/>
      <c r="M82">
        <f>1136.34+630+116.82</f>
        <v>1883.16</v>
      </c>
    </row>
    <row r="83" ht="16.5" spans="1:13">
      <c r="A83" s="28"/>
      <c r="B83" s="28"/>
      <c r="C83" s="85"/>
      <c r="D83" s="83"/>
      <c r="E83" s="28"/>
      <c r="F83" s="87"/>
      <c r="G83" s="34" t="s">
        <v>86</v>
      </c>
      <c r="H83" s="34">
        <v>33</v>
      </c>
      <c r="I83" s="101">
        <v>0</v>
      </c>
      <c r="J83" s="35">
        <f t="shared" si="5"/>
        <v>0</v>
      </c>
      <c r="K83" s="120"/>
      <c r="L83" s="147"/>
    </row>
    <row r="84" ht="16.5" spans="1:13">
      <c r="A84" s="28"/>
      <c r="B84" s="28"/>
      <c r="C84" s="85"/>
      <c r="D84" s="83"/>
      <c r="E84" s="28"/>
      <c r="F84" s="87"/>
      <c r="G84" s="34" t="s">
        <v>142</v>
      </c>
      <c r="H84" s="34">
        <v>30</v>
      </c>
      <c r="I84" s="101">
        <v>0</v>
      </c>
      <c r="J84" s="35">
        <f t="shared" si="5"/>
        <v>0</v>
      </c>
      <c r="K84" s="120"/>
      <c r="L84" s="147"/>
    </row>
    <row r="85" ht="16.5" spans="1:13">
      <c r="A85" s="28"/>
      <c r="B85" s="28"/>
      <c r="C85" s="85"/>
      <c r="D85" s="83"/>
      <c r="E85" s="28"/>
      <c r="F85" s="87"/>
      <c r="G85" s="34" t="s">
        <v>22</v>
      </c>
      <c r="H85" s="34">
        <v>3000</v>
      </c>
      <c r="I85" s="98">
        <v>0.11</v>
      </c>
      <c r="J85" s="35">
        <f t="shared" si="5"/>
        <v>330</v>
      </c>
      <c r="K85" s="120"/>
      <c r="L85" s="151"/>
    </row>
    <row r="86" ht="16.5" spans="1:13">
      <c r="A86" s="28"/>
      <c r="B86" s="28"/>
      <c r="C86" s="85"/>
      <c r="D86" s="83"/>
      <c r="E86" s="28"/>
      <c r="F86" s="127"/>
      <c r="G86" s="34" t="s">
        <v>87</v>
      </c>
      <c r="H86" s="34">
        <v>3000</v>
      </c>
      <c r="I86" s="98">
        <f>0.042*5</f>
        <v>0.21</v>
      </c>
      <c r="J86" s="35">
        <f t="shared" si="5"/>
        <v>630</v>
      </c>
      <c r="K86" s="123"/>
      <c r="L86" s="152"/>
    </row>
    <row r="87" ht="16.5" spans="1:13">
      <c r="A87" s="28">
        <v>45876</v>
      </c>
      <c r="B87" s="29" t="s">
        <v>39</v>
      </c>
      <c r="C87" s="29">
        <v>40061</v>
      </c>
      <c r="D87" s="73" t="s">
        <v>143</v>
      </c>
      <c r="E87" s="29" t="s">
        <v>144</v>
      </c>
      <c r="F87" s="28" t="s">
        <v>145</v>
      </c>
      <c r="G87" s="35" t="s">
        <v>131</v>
      </c>
      <c r="H87" s="35">
        <v>6180</v>
      </c>
      <c r="I87" s="96">
        <v>1.07</v>
      </c>
      <c r="J87" s="35">
        <f t="shared" si="5"/>
        <v>6612.6</v>
      </c>
      <c r="K87" s="120"/>
      <c r="L87" s="146" t="s">
        <v>146</v>
      </c>
    </row>
    <row r="88" ht="32" customHeight="1" spans="1:13">
      <c r="A88" s="28"/>
      <c r="B88" s="29"/>
      <c r="C88" s="29"/>
      <c r="D88" s="73"/>
      <c r="E88" s="29"/>
      <c r="F88" s="28"/>
      <c r="G88" s="35" t="s">
        <v>80</v>
      </c>
      <c r="H88" s="35">
        <v>60</v>
      </c>
      <c r="I88" s="96">
        <v>0</v>
      </c>
      <c r="J88" s="35">
        <f t="shared" si="5"/>
        <v>0</v>
      </c>
      <c r="K88" s="120"/>
      <c r="L88" s="147"/>
      <c r="M88">
        <f>6612.6+660+1260</f>
        <v>8532.6</v>
      </c>
    </row>
    <row r="89" ht="26" customHeight="1" spans="1:13">
      <c r="A89" s="28"/>
      <c r="B89" s="29"/>
      <c r="C89" s="29"/>
      <c r="D89" s="73"/>
      <c r="E89" s="29"/>
      <c r="F89" s="28"/>
      <c r="G89" s="35" t="s">
        <v>81</v>
      </c>
      <c r="H89" s="35">
        <v>30</v>
      </c>
      <c r="I89" s="96">
        <v>0</v>
      </c>
      <c r="J89" s="35">
        <f t="shared" si="5"/>
        <v>0</v>
      </c>
      <c r="K89" s="120"/>
      <c r="L89" s="147"/>
    </row>
    <row r="90" ht="27" customHeight="1" spans="1:13">
      <c r="A90" s="28"/>
      <c r="B90" s="29"/>
      <c r="C90" s="29"/>
      <c r="D90" s="73"/>
      <c r="E90" s="29"/>
      <c r="F90" s="28"/>
      <c r="G90" s="34" t="s">
        <v>87</v>
      </c>
      <c r="H90" s="34">
        <v>6000</v>
      </c>
      <c r="I90" s="98">
        <f>0.042*5</f>
        <v>0.21</v>
      </c>
      <c r="J90" s="35">
        <f t="shared" si="5"/>
        <v>1260</v>
      </c>
      <c r="K90" s="120"/>
      <c r="L90" s="147"/>
    </row>
    <row r="91" ht="33" customHeight="1" spans="1:13">
      <c r="A91" s="28"/>
      <c r="B91" s="29"/>
      <c r="C91" s="29"/>
      <c r="D91" s="73"/>
      <c r="E91" s="29"/>
      <c r="F91" s="28"/>
      <c r="G91" s="35" t="s">
        <v>91</v>
      </c>
      <c r="H91" s="34">
        <v>6000</v>
      </c>
      <c r="I91" s="98">
        <v>0.11</v>
      </c>
      <c r="J91" s="35">
        <f t="shared" si="5"/>
        <v>660</v>
      </c>
      <c r="K91" s="123"/>
      <c r="L91" s="151"/>
    </row>
    <row r="92" ht="16.5" spans="1:13">
      <c r="J92" s="104">
        <f>SUM(J3:J91)</f>
        <v>213695.936</v>
      </c>
    </row>
  </sheetData>
  <autoFilter xmlns:etc="http://www.wps.cn/officeDocument/2017/etCustomData" ref="A1:J92" etc:filterBottomFollowUsedRange="0">
    <extLst/>
  </autoFilter>
  <mergeCells count="131">
    <mergeCell ref="A1:J1"/>
    <mergeCell ref="A3:A6"/>
    <mergeCell ref="A8:A10"/>
    <mergeCell ref="A12:A15"/>
    <mergeCell ref="A17:A24"/>
    <mergeCell ref="A25:A30"/>
    <mergeCell ref="A32:A35"/>
    <mergeCell ref="A38:A42"/>
    <mergeCell ref="A48:A52"/>
    <mergeCell ref="A53:A56"/>
    <mergeCell ref="A57:A60"/>
    <mergeCell ref="A61:A64"/>
    <mergeCell ref="A65:A70"/>
    <mergeCell ref="A71:A79"/>
    <mergeCell ref="A80:A81"/>
    <mergeCell ref="A82:A86"/>
    <mergeCell ref="A87:A91"/>
    <mergeCell ref="B3:B6"/>
    <mergeCell ref="B8:B10"/>
    <mergeCell ref="B12:B15"/>
    <mergeCell ref="B17:B24"/>
    <mergeCell ref="B25:B30"/>
    <mergeCell ref="B32:B35"/>
    <mergeCell ref="B38:B42"/>
    <mergeCell ref="B48:B52"/>
    <mergeCell ref="B53:B56"/>
    <mergeCell ref="B57:B60"/>
    <mergeCell ref="B61:B64"/>
    <mergeCell ref="B65:B70"/>
    <mergeCell ref="B71:B79"/>
    <mergeCell ref="B80:B81"/>
    <mergeCell ref="B82:B86"/>
    <mergeCell ref="B87:B91"/>
    <mergeCell ref="C3:C6"/>
    <mergeCell ref="C8:C10"/>
    <mergeCell ref="C12:C15"/>
    <mergeCell ref="C17:C24"/>
    <mergeCell ref="C25:C30"/>
    <mergeCell ref="C32:C35"/>
    <mergeCell ref="C38:C42"/>
    <mergeCell ref="C48:C52"/>
    <mergeCell ref="C53:C56"/>
    <mergeCell ref="C57:C60"/>
    <mergeCell ref="C61:C64"/>
    <mergeCell ref="C65:C70"/>
    <mergeCell ref="C71:C79"/>
    <mergeCell ref="C80:C81"/>
    <mergeCell ref="C82:C86"/>
    <mergeCell ref="C87:C91"/>
    <mergeCell ref="D3:D6"/>
    <mergeCell ref="D8:D10"/>
    <mergeCell ref="D12:D15"/>
    <mergeCell ref="D17:D24"/>
    <mergeCell ref="D25:D30"/>
    <mergeCell ref="D32:D35"/>
    <mergeCell ref="D38:D42"/>
    <mergeCell ref="D48:D52"/>
    <mergeCell ref="D53:D56"/>
    <mergeCell ref="D57:D60"/>
    <mergeCell ref="D61:D64"/>
    <mergeCell ref="D65:D70"/>
    <mergeCell ref="D71:D79"/>
    <mergeCell ref="D80:D81"/>
    <mergeCell ref="D82:D86"/>
    <mergeCell ref="D87:D91"/>
    <mergeCell ref="E3:E6"/>
    <mergeCell ref="E8:E10"/>
    <mergeCell ref="E12:E15"/>
    <mergeCell ref="E17:E24"/>
    <mergeCell ref="E25:E30"/>
    <mergeCell ref="E32:E35"/>
    <mergeCell ref="E38:E42"/>
    <mergeCell ref="E43:E44"/>
    <mergeCell ref="E48:E52"/>
    <mergeCell ref="E53:E56"/>
    <mergeCell ref="E57:E60"/>
    <mergeCell ref="E61:E64"/>
    <mergeCell ref="E65:E70"/>
    <mergeCell ref="E71:E79"/>
    <mergeCell ref="E80:E81"/>
    <mergeCell ref="E82:E86"/>
    <mergeCell ref="E87:E91"/>
    <mergeCell ref="F3:F6"/>
    <mergeCell ref="F8:F10"/>
    <mergeCell ref="F12:F15"/>
    <mergeCell ref="F17:F24"/>
    <mergeCell ref="F25:F30"/>
    <mergeCell ref="F34:F35"/>
    <mergeCell ref="F38:F39"/>
    <mergeCell ref="F40:F41"/>
    <mergeCell ref="F49:F50"/>
    <mergeCell ref="F53:F54"/>
    <mergeCell ref="F55:F56"/>
    <mergeCell ref="F57:F58"/>
    <mergeCell ref="F59:F60"/>
    <mergeCell ref="F61:F62"/>
    <mergeCell ref="F63:F64"/>
    <mergeCell ref="F65:F66"/>
    <mergeCell ref="F67:F69"/>
    <mergeCell ref="F71:F79"/>
    <mergeCell ref="F80:F81"/>
    <mergeCell ref="F82:F86"/>
    <mergeCell ref="F87:F91"/>
    <mergeCell ref="K8:K15"/>
    <mergeCell ref="K17:K24"/>
    <mergeCell ref="K25:K30"/>
    <mergeCell ref="K32:K36"/>
    <mergeCell ref="K38:K42"/>
    <mergeCell ref="K43:K46"/>
    <mergeCell ref="K49:K52"/>
    <mergeCell ref="K53:K56"/>
    <mergeCell ref="K57:K64"/>
    <mergeCell ref="K65:K67"/>
    <mergeCell ref="K68:K70"/>
    <mergeCell ref="K71:K79"/>
    <mergeCell ref="K80:K86"/>
    <mergeCell ref="K87:K91"/>
    <mergeCell ref="L8:L15"/>
    <mergeCell ref="L17:L24"/>
    <mergeCell ref="L25:L30"/>
    <mergeCell ref="L32:L36"/>
    <mergeCell ref="L38:L42"/>
    <mergeCell ref="L43:L46"/>
    <mergeCell ref="L49:L52"/>
    <mergeCell ref="L53:L56"/>
    <mergeCell ref="L57:L64"/>
    <mergeCell ref="L65:L67"/>
    <mergeCell ref="L68:L70"/>
    <mergeCell ref="L71:L79"/>
    <mergeCell ref="L80:L85"/>
    <mergeCell ref="L87:L91"/>
  </mergeCells>
  <pageMargins left="0.75" right="0.75" top="1" bottom="1" header="0.5" footer="0.5"/>
  <pageSetup paperSize="9" scale="2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G32" sqref="G3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636363636364" customWidth="1"/>
    <col min="5" max="5" width="38.3636363636364" customWidth="1"/>
    <col min="6" max="6" width="17.3636363636364" style="25" customWidth="1"/>
    <col min="7" max="7" width="57.9090909090909" customWidth="1"/>
    <col min="8" max="8" width="9.44545454545455" customWidth="1"/>
    <col min="9" max="9" width="12.3636363636364" customWidth="1"/>
    <col min="10" max="10" width="11.5545454545455" customWidth="1"/>
    <col min="12" max="12" width="10.554545454545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147</v>
      </c>
    </row>
    <row r="3" ht="33" hidden="1" spans="1:11">
      <c r="A3" s="79">
        <v>45761</v>
      </c>
      <c r="B3" s="69" t="s">
        <v>39</v>
      </c>
      <c r="C3" s="69">
        <v>76382</v>
      </c>
      <c r="D3" s="80" t="s">
        <v>148</v>
      </c>
      <c r="E3" s="69" t="s">
        <v>149</v>
      </c>
      <c r="F3" s="81" t="s">
        <v>150</v>
      </c>
      <c r="G3" s="82" t="s">
        <v>151</v>
      </c>
      <c r="H3" s="82">
        <v>201</v>
      </c>
      <c r="I3" s="82">
        <v>0.007</v>
      </c>
      <c r="J3" s="82">
        <f>H3*I3</f>
        <v>1.407</v>
      </c>
    </row>
    <row r="4" ht="16" customHeight="1" spans="1:11">
      <c r="A4" s="28">
        <v>45755</v>
      </c>
      <c r="B4" s="28" t="s">
        <v>39</v>
      </c>
      <c r="C4" s="28" t="s">
        <v>152</v>
      </c>
      <c r="D4" s="83" t="s">
        <v>153</v>
      </c>
      <c r="E4" s="28" t="s">
        <v>154</v>
      </c>
      <c r="F4" s="28" t="s">
        <v>155</v>
      </c>
      <c r="G4" s="34" t="s">
        <v>156</v>
      </c>
      <c r="H4" s="34">
        <f>5926</f>
        <v>5926</v>
      </c>
      <c r="I4" s="34">
        <f>0.007*2</f>
        <v>0.014</v>
      </c>
      <c r="J4" s="84">
        <f>H4*I4</f>
        <v>82.964</v>
      </c>
    </row>
    <row r="5" ht="16" customHeight="1" spans="1:11">
      <c r="A5" s="28"/>
      <c r="B5" s="28"/>
      <c r="C5" s="28"/>
      <c r="D5" s="83"/>
      <c r="E5" s="28"/>
      <c r="F5" s="28" t="s">
        <v>157</v>
      </c>
      <c r="G5" s="34" t="s">
        <v>158</v>
      </c>
      <c r="H5" s="34">
        <f>58</f>
        <v>58</v>
      </c>
      <c r="I5" s="34">
        <v>0</v>
      </c>
      <c r="J5" s="34">
        <f>H5*I5</f>
        <v>0</v>
      </c>
    </row>
    <row r="6" ht="16.5" spans="1:11">
      <c r="A6" s="28">
        <v>45825</v>
      </c>
      <c r="B6" s="28" t="s">
        <v>39</v>
      </c>
      <c r="C6" s="85" t="s">
        <v>88</v>
      </c>
      <c r="D6" s="83" t="s">
        <v>89</v>
      </c>
      <c r="E6" s="28" t="s">
        <v>90</v>
      </c>
      <c r="F6" s="86">
        <v>45833</v>
      </c>
      <c r="G6" s="34" t="s">
        <v>21</v>
      </c>
      <c r="H6" s="34">
        <v>1200</v>
      </c>
      <c r="I6" s="34">
        <v>0.039</v>
      </c>
      <c r="J6" s="34">
        <f>H6*I6</f>
        <v>46.8</v>
      </c>
    </row>
    <row r="7" ht="16.5" spans="1:11">
      <c r="A7" s="28"/>
      <c r="B7" s="28"/>
      <c r="C7" s="85"/>
      <c r="D7" s="83"/>
      <c r="E7" s="28"/>
      <c r="F7" s="87"/>
      <c r="G7" s="34" t="s">
        <v>159</v>
      </c>
      <c r="H7" s="34">
        <f>H6*0.01</f>
        <v>12</v>
      </c>
      <c r="I7" s="34">
        <v>0</v>
      </c>
      <c r="J7" s="34">
        <v>0</v>
      </c>
    </row>
    <row r="8" ht="16.5" spans="1:11">
      <c r="A8" s="88">
        <v>45832</v>
      </c>
      <c r="B8" s="88" t="s">
        <v>39</v>
      </c>
      <c r="C8" s="89">
        <v>78832</v>
      </c>
      <c r="D8" s="90" t="s">
        <v>160</v>
      </c>
      <c r="E8" s="88" t="s">
        <v>161</v>
      </c>
      <c r="F8" s="91">
        <v>45845</v>
      </c>
      <c r="G8" s="35" t="s">
        <v>21</v>
      </c>
      <c r="H8" s="35">
        <v>3500</v>
      </c>
      <c r="I8" s="35">
        <v>0.039</v>
      </c>
      <c r="J8" s="35">
        <f>H8*I8</f>
        <v>136.5</v>
      </c>
      <c r="K8">
        <f>H6+H8+H10+H13</f>
        <v>9700</v>
      </c>
    </row>
    <row r="9" ht="16.5" spans="1:11">
      <c r="A9" s="88"/>
      <c r="B9" s="88"/>
      <c r="C9" s="92"/>
      <c r="D9" s="90"/>
      <c r="E9" s="88"/>
      <c r="F9" s="93"/>
      <c r="G9" s="35" t="s">
        <v>159</v>
      </c>
      <c r="H9" s="35">
        <f>H8*0.01</f>
        <v>35</v>
      </c>
      <c r="I9" s="35">
        <v>0</v>
      </c>
      <c r="J9" s="35">
        <v>0</v>
      </c>
    </row>
    <row r="10" ht="16.5" spans="1:11">
      <c r="A10" s="28">
        <v>45848</v>
      </c>
      <c r="B10" s="29" t="s">
        <v>39</v>
      </c>
      <c r="C10" s="29" t="s">
        <v>162</v>
      </c>
      <c r="D10" s="73" t="s">
        <v>163</v>
      </c>
      <c r="E10" s="29" t="s">
        <v>164</v>
      </c>
      <c r="F10" s="28">
        <v>45855</v>
      </c>
      <c r="G10" s="35" t="s">
        <v>69</v>
      </c>
      <c r="H10" s="35">
        <v>2000</v>
      </c>
      <c r="I10" s="35">
        <v>0.039</v>
      </c>
      <c r="J10" s="34">
        <f>H10*I10</f>
        <v>78</v>
      </c>
    </row>
    <row r="11" ht="16.5" spans="1:11">
      <c r="A11" s="28"/>
      <c r="B11" s="29"/>
      <c r="C11" s="29"/>
      <c r="D11" s="73"/>
      <c r="E11" s="29"/>
      <c r="F11" s="28"/>
      <c r="G11" s="35" t="s">
        <v>159</v>
      </c>
      <c r="H11" s="35">
        <f>H10*0.01</f>
        <v>20</v>
      </c>
      <c r="I11" s="34">
        <v>0</v>
      </c>
      <c r="J11" s="34">
        <f t="shared" ref="J11:J20" si="0">H11*I11</f>
        <v>0</v>
      </c>
    </row>
    <row r="12" ht="16.5" spans="1:11">
      <c r="A12" s="28"/>
      <c r="B12" s="29"/>
      <c r="C12" s="29"/>
      <c r="D12" s="73"/>
      <c r="E12" s="29"/>
      <c r="F12" s="28">
        <v>45853</v>
      </c>
      <c r="G12" s="34" t="s">
        <v>87</v>
      </c>
      <c r="H12" s="34">
        <f>3200</f>
        <v>3200</v>
      </c>
      <c r="I12" s="34">
        <f>0.007*5</f>
        <v>0.035</v>
      </c>
      <c r="J12" s="34">
        <f t="shared" si="0"/>
        <v>112</v>
      </c>
    </row>
    <row r="13" ht="16.5" spans="1:11">
      <c r="A13" s="88">
        <v>45848</v>
      </c>
      <c r="B13" s="88" t="s">
        <v>39</v>
      </c>
      <c r="C13" s="89">
        <v>79777</v>
      </c>
      <c r="D13" s="90" t="s">
        <v>165</v>
      </c>
      <c r="E13" s="88" t="s">
        <v>166</v>
      </c>
      <c r="F13" s="88">
        <v>45857</v>
      </c>
      <c r="G13" s="35" t="s">
        <v>21</v>
      </c>
      <c r="H13" s="35">
        <v>3000</v>
      </c>
      <c r="I13" s="35">
        <v>0.039</v>
      </c>
      <c r="J13" s="34">
        <f t="shared" si="0"/>
        <v>117</v>
      </c>
    </row>
    <row r="14" ht="16.5" spans="1:11">
      <c r="A14" s="88"/>
      <c r="B14" s="88"/>
      <c r="C14" s="92"/>
      <c r="D14" s="90"/>
      <c r="E14" s="88"/>
      <c r="F14" s="88"/>
      <c r="G14" s="35" t="s">
        <v>159</v>
      </c>
      <c r="H14" s="35">
        <f>3000*0.01</f>
        <v>30</v>
      </c>
      <c r="I14" s="35">
        <v>0</v>
      </c>
      <c r="J14" s="34">
        <f t="shared" si="0"/>
        <v>0</v>
      </c>
    </row>
    <row r="15" ht="16.5" spans="1:11">
      <c r="A15" s="28">
        <v>45866</v>
      </c>
      <c r="B15" s="29" t="s">
        <v>39</v>
      </c>
      <c r="C15" s="94">
        <v>84011</v>
      </c>
      <c r="D15" s="95" t="s">
        <v>167</v>
      </c>
      <c r="E15" s="94" t="s">
        <v>168</v>
      </c>
      <c r="F15" s="28" t="s">
        <v>128</v>
      </c>
      <c r="G15" s="96" t="s">
        <v>169</v>
      </c>
      <c r="H15" s="97">
        <v>750</v>
      </c>
      <c r="I15" s="98">
        <v>0.034</v>
      </c>
      <c r="J15" s="34">
        <f t="shared" si="0"/>
        <v>25.5</v>
      </c>
    </row>
    <row r="16" ht="16.5" spans="1:11">
      <c r="A16" s="28"/>
      <c r="B16" s="29"/>
      <c r="C16" s="99"/>
      <c r="D16" s="100"/>
      <c r="E16" s="99"/>
      <c r="F16" s="28"/>
      <c r="G16" s="96" t="s">
        <v>170</v>
      </c>
      <c r="H16" s="101">
        <v>8</v>
      </c>
      <c r="I16" s="101">
        <v>0</v>
      </c>
      <c r="J16" s="34">
        <f t="shared" si="0"/>
        <v>0</v>
      </c>
    </row>
    <row r="17" ht="16.5" spans="1:10">
      <c r="A17" s="28"/>
      <c r="B17" s="29"/>
      <c r="C17" s="99"/>
      <c r="D17" s="100"/>
      <c r="E17" s="99"/>
      <c r="F17" s="28" t="s">
        <v>171</v>
      </c>
      <c r="G17" s="96" t="s">
        <v>172</v>
      </c>
      <c r="H17" s="97">
        <v>750</v>
      </c>
      <c r="I17" s="101">
        <v>0.026</v>
      </c>
      <c r="J17" s="34">
        <f t="shared" si="0"/>
        <v>19.5</v>
      </c>
    </row>
    <row r="18" ht="16.5" spans="1:10">
      <c r="A18" s="28"/>
      <c r="B18" s="29"/>
      <c r="C18" s="102"/>
      <c r="D18" s="103"/>
      <c r="E18" s="102"/>
      <c r="F18" s="28"/>
      <c r="G18" s="96" t="s">
        <v>173</v>
      </c>
      <c r="H18" s="101">
        <v>8</v>
      </c>
      <c r="I18" s="101">
        <v>0</v>
      </c>
      <c r="J18" s="34">
        <f t="shared" si="0"/>
        <v>0</v>
      </c>
    </row>
    <row r="19" ht="16.5" spans="1:10">
      <c r="A19" s="28">
        <v>45883</v>
      </c>
      <c r="B19" s="29" t="s">
        <v>39</v>
      </c>
      <c r="C19" s="29" t="s">
        <v>43</v>
      </c>
      <c r="D19" s="73" t="s">
        <v>174</v>
      </c>
      <c r="E19" s="29" t="s">
        <v>175</v>
      </c>
      <c r="F19" s="28" t="s">
        <v>176</v>
      </c>
      <c r="G19" s="35" t="s">
        <v>177</v>
      </c>
      <c r="H19" s="34">
        <v>15470</v>
      </c>
      <c r="I19" s="98">
        <v>0.06</v>
      </c>
      <c r="J19" s="34">
        <f t="shared" si="0"/>
        <v>928.2</v>
      </c>
    </row>
    <row r="20" ht="16.5" spans="1:10">
      <c r="A20" s="28"/>
      <c r="B20" s="29"/>
      <c r="C20" s="29"/>
      <c r="D20" s="73"/>
      <c r="E20" s="29"/>
      <c r="F20" s="28"/>
      <c r="G20" s="35" t="s">
        <v>178</v>
      </c>
      <c r="H20" s="34">
        <v>773</v>
      </c>
      <c r="I20" s="98">
        <v>0</v>
      </c>
      <c r="J20" s="34">
        <f t="shared" si="0"/>
        <v>0</v>
      </c>
    </row>
    <row r="21" ht="16.5" spans="1:10">
      <c r="J21" s="104">
        <f>SUM(J4:J20)</f>
        <v>1546.464</v>
      </c>
    </row>
  </sheetData>
  <autoFilter xmlns:etc="http://www.wps.cn/officeDocument/2017/etCustomData" ref="A1:J21" etc:filterBottomFollowUsedRange="0">
    <extLst/>
  </autoFilter>
  <mergeCells count="43">
    <mergeCell ref="A1:J1"/>
    <mergeCell ref="A4:A5"/>
    <mergeCell ref="A6:A7"/>
    <mergeCell ref="A8:A9"/>
    <mergeCell ref="A10:A12"/>
    <mergeCell ref="A13:A14"/>
    <mergeCell ref="A15:A18"/>
    <mergeCell ref="A19:A20"/>
    <mergeCell ref="B4:B5"/>
    <mergeCell ref="B6:B7"/>
    <mergeCell ref="B8:B9"/>
    <mergeCell ref="B10:B12"/>
    <mergeCell ref="B13:B14"/>
    <mergeCell ref="B15:B18"/>
    <mergeCell ref="B19:B20"/>
    <mergeCell ref="C4:C5"/>
    <mergeCell ref="C6:C7"/>
    <mergeCell ref="C8:C9"/>
    <mergeCell ref="C10:C12"/>
    <mergeCell ref="C13:C14"/>
    <mergeCell ref="C15:C18"/>
    <mergeCell ref="C19:C20"/>
    <mergeCell ref="D4:D5"/>
    <mergeCell ref="D6:D7"/>
    <mergeCell ref="D8:D9"/>
    <mergeCell ref="D10:D12"/>
    <mergeCell ref="D13:D14"/>
    <mergeCell ref="D15:D18"/>
    <mergeCell ref="D19:D20"/>
    <mergeCell ref="E4:E5"/>
    <mergeCell ref="E6:E7"/>
    <mergeCell ref="E8:E9"/>
    <mergeCell ref="E10:E12"/>
    <mergeCell ref="E13:E14"/>
    <mergeCell ref="E15:E18"/>
    <mergeCell ref="E19:E20"/>
    <mergeCell ref="F6:F7"/>
    <mergeCell ref="F8:F9"/>
    <mergeCell ref="F10:F11"/>
    <mergeCell ref="F13:F14"/>
    <mergeCell ref="F15:F16"/>
    <mergeCell ref="F17:F18"/>
    <mergeCell ref="F19:F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9"/>
  <sheetViews>
    <sheetView workbookViewId="0">
      <selection activeCell="C9" sqref="C9"/>
    </sheetView>
  </sheetViews>
  <sheetFormatPr defaultColWidth="8.89090909090909" defaultRowHeight="14" outlineLevelCol="3"/>
  <sheetData>
    <row r="1" spans="2:4">
      <c r="B1" s="25">
        <v>3606</v>
      </c>
      <c r="C1" s="25"/>
      <c r="D1" s="25"/>
    </row>
    <row r="2" spans="2:4">
      <c r="C2" t="s">
        <v>179</v>
      </c>
    </row>
    <row r="3" spans="2:4">
      <c r="B3" t="e">
        <f>'8月Adela-国内'!H10+'8月Adela-国内'!H43+'8月Adela-国内'!#REF!+'8月Adela-国内'!#REF!</f>
        <v>#REF!</v>
      </c>
      <c r="C3">
        <v>13700</v>
      </c>
      <c r="D3" t="e">
        <f>SUM(B3:C3)</f>
        <v>#REF!</v>
      </c>
    </row>
    <row r="4" spans="2:4">
      <c r="B4" t="s">
        <v>180</v>
      </c>
      <c r="C4">
        <v>6800</v>
      </c>
    </row>
    <row r="5" spans="2:4">
      <c r="B5" t="s">
        <v>181</v>
      </c>
      <c r="C5">
        <v>10000</v>
      </c>
    </row>
    <row r="6" spans="2:4">
      <c r="B6" t="s">
        <v>182</v>
      </c>
      <c r="C6">
        <v>5826</v>
      </c>
    </row>
    <row r="7" spans="2:4">
      <c r="C7">
        <v>11000</v>
      </c>
    </row>
    <row r="8" spans="2:4">
      <c r="B8" t="s">
        <v>183</v>
      </c>
      <c r="C8">
        <v>1377</v>
      </c>
    </row>
    <row r="9" spans="2:4">
      <c r="B9" t="s">
        <v>184</v>
      </c>
      <c r="C9">
        <v>6000</v>
      </c>
    </row>
  </sheetData>
  <mergeCells count="1">
    <mergeCell ref="B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636363636364" customWidth="1"/>
    <col min="5" max="5" width="33.6363636363636" customWidth="1"/>
    <col min="6" max="6" width="17.3636363636364" style="25" customWidth="1"/>
    <col min="7" max="7" width="56.0909090909091" customWidth="1"/>
    <col min="8" max="8" width="9.44545454545455" customWidth="1"/>
    <col min="9" max="9" width="12.3636363636364" customWidth="1"/>
    <col min="10" max="10" width="11.5545454545455" customWidth="1"/>
    <col min="12" max="12" width="10.554545454545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0">
      <c r="A3" s="28">
        <v>45730</v>
      </c>
      <c r="B3" s="29" t="s">
        <v>185</v>
      </c>
      <c r="C3" s="29" t="s">
        <v>186</v>
      </c>
      <c r="D3" s="73" t="s">
        <v>187</v>
      </c>
      <c r="E3" s="29" t="s">
        <v>188</v>
      </c>
      <c r="F3" s="67" t="s">
        <v>189</v>
      </c>
      <c r="G3" s="35" t="s">
        <v>190</v>
      </c>
      <c r="H3" s="74">
        <f>32000*1.02</f>
        <v>32640</v>
      </c>
      <c r="I3" s="68">
        <v>1.07</v>
      </c>
      <c r="J3" s="68">
        <f t="shared" ref="J3:J19" si="0">H3*I3</f>
        <v>34924.8</v>
      </c>
    </row>
    <row r="4" ht="16.5" spans="1:10">
      <c r="A4" s="28"/>
      <c r="B4" s="29"/>
      <c r="C4" s="29"/>
      <c r="D4" s="73"/>
      <c r="E4" s="29"/>
      <c r="F4" s="70"/>
      <c r="G4" s="35" t="s">
        <v>86</v>
      </c>
      <c r="H4" s="74">
        <v>320</v>
      </c>
      <c r="I4" s="68">
        <v>0</v>
      </c>
      <c r="J4" s="68">
        <f t="shared" si="0"/>
        <v>0</v>
      </c>
    </row>
    <row r="5" ht="16.5" spans="1:10">
      <c r="A5" s="28"/>
      <c r="B5" s="29"/>
      <c r="C5" s="29"/>
      <c r="D5" s="73"/>
      <c r="E5" s="29"/>
      <c r="F5" s="70"/>
      <c r="G5" s="29" t="s">
        <v>142</v>
      </c>
      <c r="H5" s="74">
        <f>2*5*5+5</f>
        <v>55</v>
      </c>
      <c r="I5" s="68">
        <v>0</v>
      </c>
      <c r="J5" s="68">
        <f t="shared" si="0"/>
        <v>0</v>
      </c>
    </row>
    <row r="6" ht="16.5" spans="1:10">
      <c r="A6" s="28"/>
      <c r="B6" s="29"/>
      <c r="C6" s="29"/>
      <c r="D6" s="73"/>
      <c r="E6" s="29"/>
      <c r="F6" s="70"/>
      <c r="G6" s="35" t="s">
        <v>69</v>
      </c>
      <c r="H6" s="74">
        <f>8000+8000+8000+8000</f>
        <v>32000</v>
      </c>
      <c r="I6" s="34">
        <v>0.28</v>
      </c>
      <c r="J6" s="68">
        <f t="shared" si="0"/>
        <v>8960</v>
      </c>
    </row>
    <row r="7" ht="16.5" spans="1:10">
      <c r="A7" s="28"/>
      <c r="B7" s="29"/>
      <c r="C7" s="29"/>
      <c r="D7" s="73"/>
      <c r="E7" s="29"/>
      <c r="F7" s="70"/>
      <c r="G7" s="34" t="s">
        <v>22</v>
      </c>
      <c r="H7" s="74">
        <f>8000+8000+8000+8000</f>
        <v>32000</v>
      </c>
      <c r="I7" s="34">
        <v>0.11</v>
      </c>
      <c r="J7" s="68">
        <f t="shared" si="0"/>
        <v>3520</v>
      </c>
    </row>
    <row r="8" ht="16.5" spans="1:10">
      <c r="A8" s="28"/>
      <c r="B8" s="29"/>
      <c r="C8" s="29"/>
      <c r="D8" s="73"/>
      <c r="E8" s="29"/>
      <c r="F8" s="71"/>
      <c r="G8" s="34" t="s">
        <v>191</v>
      </c>
      <c r="H8" s="34">
        <f>32000*4</f>
        <v>128000</v>
      </c>
      <c r="I8" s="34">
        <v>0.042</v>
      </c>
      <c r="J8" s="34">
        <f t="shared" si="0"/>
        <v>5376</v>
      </c>
    </row>
    <row r="9" ht="16.5" spans="1:10">
      <c r="A9" s="28">
        <v>45742</v>
      </c>
      <c r="B9" s="29" t="s">
        <v>185</v>
      </c>
      <c r="C9" s="29" t="s">
        <v>192</v>
      </c>
      <c r="D9" s="73" t="s">
        <v>193</v>
      </c>
      <c r="E9" s="29" t="s">
        <v>194</v>
      </c>
      <c r="F9" s="76" t="s">
        <v>195</v>
      </c>
      <c r="G9" s="35" t="s">
        <v>84</v>
      </c>
      <c r="H9" s="35">
        <v>8000</v>
      </c>
      <c r="I9" s="35">
        <v>1.07</v>
      </c>
      <c r="J9" s="35">
        <f t="shared" si="0"/>
        <v>8560</v>
      </c>
    </row>
    <row r="10" ht="16.5" spans="1:10">
      <c r="A10" s="28"/>
      <c r="B10" s="29"/>
      <c r="C10" s="29"/>
      <c r="D10" s="73"/>
      <c r="E10" s="29"/>
      <c r="F10" s="76"/>
      <c r="G10" s="35" t="s">
        <v>86</v>
      </c>
      <c r="H10" s="35">
        <f>H9*0.01</f>
        <v>80</v>
      </c>
      <c r="I10" s="35">
        <v>0</v>
      </c>
      <c r="J10" s="35">
        <f t="shared" si="0"/>
        <v>0</v>
      </c>
    </row>
    <row r="11" ht="16.5" spans="1:10">
      <c r="A11" s="28"/>
      <c r="B11" s="29"/>
      <c r="C11" s="29"/>
      <c r="D11" s="73"/>
      <c r="E11" s="29"/>
      <c r="F11" s="76"/>
      <c r="G11" s="35" t="s">
        <v>69</v>
      </c>
      <c r="H11" s="35">
        <v>8000</v>
      </c>
      <c r="I11" s="35">
        <v>0.28</v>
      </c>
      <c r="J11" s="35">
        <f t="shared" si="0"/>
        <v>2240</v>
      </c>
    </row>
    <row r="12" ht="16.5" spans="1:10">
      <c r="A12" s="28"/>
      <c r="B12" s="29"/>
      <c r="C12" s="29"/>
      <c r="D12" s="73"/>
      <c r="E12" s="29"/>
      <c r="F12" s="76"/>
      <c r="G12" s="35" t="s">
        <v>22</v>
      </c>
      <c r="H12" s="35">
        <v>8000</v>
      </c>
      <c r="I12" s="35">
        <v>0.11</v>
      </c>
      <c r="J12" s="35">
        <f t="shared" si="0"/>
        <v>880</v>
      </c>
    </row>
    <row r="13" ht="16.5" spans="1:10">
      <c r="A13" s="28"/>
      <c r="B13" s="29"/>
      <c r="C13" s="29"/>
      <c r="D13" s="73"/>
      <c r="E13" s="29"/>
      <c r="F13" s="76"/>
      <c r="G13" s="35" t="s">
        <v>191</v>
      </c>
      <c r="H13" s="35">
        <f>8000*4</f>
        <v>32000</v>
      </c>
      <c r="I13" s="35">
        <v>0.042</v>
      </c>
      <c r="J13" s="35">
        <f t="shared" si="0"/>
        <v>1344</v>
      </c>
    </row>
    <row r="14" ht="16.5" spans="1:10">
      <c r="A14" s="28"/>
      <c r="B14" s="29"/>
      <c r="C14" s="29"/>
      <c r="D14" s="73"/>
      <c r="E14" s="29"/>
      <c r="F14" s="76"/>
      <c r="G14" s="35" t="s">
        <v>84</v>
      </c>
      <c r="H14" s="35">
        <v>5000</v>
      </c>
      <c r="I14" s="35">
        <v>1.07</v>
      </c>
      <c r="J14" s="35">
        <f t="shared" si="0"/>
        <v>5350</v>
      </c>
    </row>
    <row r="15" ht="16.5" spans="1:10">
      <c r="A15" s="28"/>
      <c r="B15" s="29"/>
      <c r="C15" s="29"/>
      <c r="D15" s="73"/>
      <c r="E15" s="29"/>
      <c r="F15" s="76"/>
      <c r="G15" s="35" t="s">
        <v>86</v>
      </c>
      <c r="H15" s="35">
        <f>H14*0.01</f>
        <v>50</v>
      </c>
      <c r="I15" s="35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76"/>
      <c r="G16" s="35" t="s">
        <v>69</v>
      </c>
      <c r="H16" s="35">
        <v>5000</v>
      </c>
      <c r="I16" s="35">
        <v>0.28</v>
      </c>
      <c r="J16" s="35">
        <f t="shared" si="0"/>
        <v>1400</v>
      </c>
    </row>
    <row r="17" ht="16.5" spans="1:10">
      <c r="A17" s="28"/>
      <c r="B17" s="29"/>
      <c r="C17" s="29"/>
      <c r="D17" s="73"/>
      <c r="E17" s="29"/>
      <c r="F17" s="76"/>
      <c r="G17" s="35" t="s">
        <v>22</v>
      </c>
      <c r="H17" s="35">
        <v>5000</v>
      </c>
      <c r="I17" s="35">
        <v>0.11</v>
      </c>
      <c r="J17" s="35">
        <f t="shared" si="0"/>
        <v>550</v>
      </c>
    </row>
    <row r="18" ht="16.5" spans="1:10">
      <c r="A18" s="28"/>
      <c r="B18" s="29"/>
      <c r="C18" s="29"/>
      <c r="D18" s="73"/>
      <c r="E18" s="29"/>
      <c r="F18" s="76"/>
      <c r="G18" s="35" t="s">
        <v>191</v>
      </c>
      <c r="H18" s="35">
        <f>5000*4</f>
        <v>20000</v>
      </c>
      <c r="I18" s="35">
        <v>0.042</v>
      </c>
      <c r="J18" s="35">
        <f t="shared" si="0"/>
        <v>840</v>
      </c>
    </row>
    <row r="19" ht="16.5" spans="1:10">
      <c r="A19" s="28"/>
      <c r="B19" s="29"/>
      <c r="C19" s="29"/>
      <c r="D19" s="73"/>
      <c r="E19" s="29"/>
      <c r="F19" s="76"/>
      <c r="G19" s="35" t="s">
        <v>196</v>
      </c>
      <c r="H19" s="35">
        <v>43260</v>
      </c>
      <c r="I19" s="35">
        <v>0.33</v>
      </c>
      <c r="J19" s="35">
        <f t="shared" si="0"/>
        <v>14275.8</v>
      </c>
    </row>
    <row r="20" ht="16.5" spans="1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636363636364" customWidth="1"/>
    <col min="5" max="5" width="33.6363636363636" customWidth="1"/>
    <col min="6" max="6" width="17.3636363636364" style="25" customWidth="1"/>
    <col min="7" max="7" width="56.0909090909091" customWidth="1"/>
    <col min="8" max="8" width="9.44545454545455" customWidth="1"/>
    <col min="9" max="9" width="12.3636363636364" customWidth="1"/>
    <col min="10" max="10" width="11.5545454545455" customWidth="1"/>
    <col min="12" max="12" width="10.554545454545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197</v>
      </c>
      <c r="D7" s="56" t="s">
        <v>198</v>
      </c>
      <c r="E7" s="28" t="s">
        <v>199</v>
      </c>
      <c r="F7" s="60" t="s">
        <v>200</v>
      </c>
      <c r="G7" s="32" t="s">
        <v>201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200</v>
      </c>
      <c r="G8" s="32" t="s">
        <v>87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200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55</v>
      </c>
      <c r="E11" s="39" t="s">
        <v>43</v>
      </c>
      <c r="F11" s="39" t="s">
        <v>56</v>
      </c>
      <c r="G11" s="32" t="s">
        <v>57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202</v>
      </c>
      <c r="D12" s="30" t="s">
        <v>203</v>
      </c>
      <c r="E12" s="29" t="s">
        <v>204</v>
      </c>
      <c r="F12" s="31" t="s">
        <v>205</v>
      </c>
      <c r="G12" s="32" t="s">
        <v>120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86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206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207</v>
      </c>
      <c r="G15" s="32" t="s">
        <v>69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207</v>
      </c>
      <c r="G16" s="32" t="s">
        <v>208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209</v>
      </c>
      <c r="D17" s="66" t="s">
        <v>210</v>
      </c>
      <c r="E17" s="65" t="s">
        <v>211</v>
      </c>
      <c r="F17" s="67" t="s">
        <v>212</v>
      </c>
      <c r="G17" s="35" t="s">
        <v>120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86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69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87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195</v>
      </c>
      <c r="G22" s="35" t="s">
        <v>213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214</v>
      </c>
      <c r="D23" s="73" t="s">
        <v>215</v>
      </c>
      <c r="E23" s="29" t="s">
        <v>216</v>
      </c>
      <c r="F23" s="67" t="s">
        <v>217</v>
      </c>
      <c r="G23" s="35" t="s">
        <v>120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86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206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69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213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87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218</v>
      </c>
      <c r="E30" s="29" t="s">
        <v>219</v>
      </c>
      <c r="F30" s="67" t="s">
        <v>220</v>
      </c>
      <c r="G30" s="35" t="s">
        <v>84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86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69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87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185</v>
      </c>
      <c r="C35" s="29" t="s">
        <v>186</v>
      </c>
      <c r="D35" s="73" t="s">
        <v>187</v>
      </c>
      <c r="E35" s="29" t="s">
        <v>188</v>
      </c>
      <c r="F35" s="67" t="s">
        <v>189</v>
      </c>
      <c r="G35" s="35" t="s">
        <v>190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86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142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69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191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221</v>
      </c>
      <c r="E41" s="29" t="s">
        <v>222</v>
      </c>
      <c r="F41" s="67" t="s">
        <v>217</v>
      </c>
      <c r="G41" s="35" t="s">
        <v>223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86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224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69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87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225</v>
      </c>
      <c r="D47" s="73" t="s">
        <v>226</v>
      </c>
      <c r="E47" s="29" t="s">
        <v>227</v>
      </c>
      <c r="F47" s="67" t="s">
        <v>217</v>
      </c>
      <c r="G47" s="35" t="s">
        <v>120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86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142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69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87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228</v>
      </c>
      <c r="D53" s="73" t="s">
        <v>229</v>
      </c>
      <c r="E53" s="29" t="s">
        <v>230</v>
      </c>
      <c r="F53" s="67" t="s">
        <v>217</v>
      </c>
      <c r="G53" s="35" t="s">
        <v>120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86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69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213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87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231</v>
      </c>
      <c r="C59" s="29" t="s">
        <v>192</v>
      </c>
      <c r="D59" s="73" t="s">
        <v>193</v>
      </c>
      <c r="E59" s="29" t="s">
        <v>194</v>
      </c>
      <c r="F59" s="76" t="s">
        <v>195</v>
      </c>
      <c r="G59" s="35" t="s">
        <v>84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86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69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191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84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86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69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191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196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231</v>
      </c>
      <c r="C70" s="29" t="s">
        <v>232</v>
      </c>
      <c r="D70" s="73" t="s">
        <v>233</v>
      </c>
      <c r="E70" s="29" t="s">
        <v>234</v>
      </c>
      <c r="F70" s="67" t="s">
        <v>235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236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237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238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239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636363636364" customWidth="1"/>
    <col min="5" max="5" width="32" customWidth="1"/>
    <col min="6" max="6" width="17.3636363636364" style="25" customWidth="1"/>
    <col min="7" max="7" width="56.0909090909091" customWidth="1"/>
    <col min="8" max="8" width="9.44545454545455" customWidth="1"/>
    <col min="9" max="9" width="12.3636363636364" customWidth="1"/>
    <col min="10" max="10" width="11.5545454545455" customWidth="1"/>
    <col min="11" max="11" width="9.55454545454545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240</v>
      </c>
      <c r="C3" s="29">
        <v>17476</v>
      </c>
      <c r="D3" s="45" t="s">
        <v>241</v>
      </c>
      <c r="E3" s="46" t="s">
        <v>242</v>
      </c>
      <c r="F3" s="47" t="s">
        <v>243</v>
      </c>
      <c r="G3" s="35" t="s">
        <v>244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245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246</v>
      </c>
      <c r="B8" s="50" t="s">
        <v>247</v>
      </c>
      <c r="C8" s="50" t="s">
        <v>248</v>
      </c>
      <c r="D8" s="50" t="s">
        <v>249</v>
      </c>
      <c r="E8" s="50" t="s">
        <v>250</v>
      </c>
      <c r="F8" s="51" t="s">
        <v>251</v>
      </c>
      <c r="G8" s="50" t="s">
        <v>252</v>
      </c>
      <c r="H8" s="50" t="s">
        <v>253</v>
      </c>
      <c r="I8" s="50" t="s">
        <v>254</v>
      </c>
      <c r="J8" s="50" t="s">
        <v>255</v>
      </c>
    </row>
    <row r="9" ht="28.5" spans="1:11">
      <c r="A9" s="50"/>
      <c r="B9" s="50"/>
      <c r="C9" s="50"/>
      <c r="D9" s="50" t="s">
        <v>256</v>
      </c>
      <c r="E9" s="50"/>
      <c r="F9" s="51" t="s">
        <v>257</v>
      </c>
      <c r="G9" s="50"/>
      <c r="H9" s="50"/>
      <c r="I9" s="52" t="s">
        <v>258</v>
      </c>
      <c r="J9" s="50"/>
    </row>
    <row r="10" ht="28" spans="1:11">
      <c r="A10" s="52">
        <v>1</v>
      </c>
      <c r="B10" s="53">
        <v>45747</v>
      </c>
      <c r="C10" s="50" t="s">
        <v>259</v>
      </c>
      <c r="D10" s="50" t="s">
        <v>260</v>
      </c>
      <c r="E10" s="50" t="s">
        <v>261</v>
      </c>
      <c r="F10" s="50" t="s">
        <v>262</v>
      </c>
      <c r="G10" s="50" t="s">
        <v>263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636363636364" customWidth="1"/>
    <col min="5" max="5" width="32" customWidth="1"/>
    <col min="6" max="6" width="17.3636363636364" style="25" customWidth="1"/>
    <col min="7" max="7" width="56.0909090909091" customWidth="1"/>
    <col min="8" max="8" width="9.44545454545455" customWidth="1"/>
    <col min="9" max="9" width="12.3636363636364" customWidth="1"/>
    <col min="10" max="10" width="11.5545454545455" customWidth="1"/>
    <col min="12" max="12" width="10.554545454545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202</v>
      </c>
      <c r="D3" s="30" t="s">
        <v>203</v>
      </c>
      <c r="E3" s="29" t="s">
        <v>204</v>
      </c>
      <c r="F3" s="31" t="s">
        <v>205</v>
      </c>
      <c r="G3" s="32" t="s">
        <v>120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86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206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207</v>
      </c>
      <c r="G6" s="32" t="s">
        <v>69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207</v>
      </c>
      <c r="G7" s="32" t="s">
        <v>208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54545454545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264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265</v>
      </c>
      <c r="B2" s="5" t="s">
        <v>266</v>
      </c>
      <c r="C2" s="5" t="s">
        <v>267</v>
      </c>
      <c r="D2" s="6" t="s">
        <v>4</v>
      </c>
      <c r="E2" s="5" t="s">
        <v>268</v>
      </c>
      <c r="F2" s="7" t="s">
        <v>269</v>
      </c>
      <c r="G2" s="8" t="s">
        <v>270</v>
      </c>
      <c r="H2" s="9" t="s">
        <v>271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272</v>
      </c>
      <c r="D3" s="14" t="s">
        <v>273</v>
      </c>
      <c r="E3" s="13" t="s">
        <v>274</v>
      </c>
      <c r="F3" s="15" t="s">
        <v>275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276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277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278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279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8月Adela-国内</vt:lpstr>
      <vt:lpstr>8月Adela-孟加拉</vt:lpstr>
      <vt:lpstr>Sheet1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2025-11-20T06:08:17Z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C0F9553B13114BC6955D6F8804A32FA1_13</vt:lpwstr>
  </property>
</Properties>
</file>