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3" activeTab="3"/>
  </bookViews>
  <sheets>
    <sheet name="2024-5月-7月-已开票" sheetId="19" state="hidden" r:id="rId1"/>
    <sheet name="4月Adela-国内" sheetId="20" state="hidden" r:id="rId2"/>
    <sheet name="4月Adela-孟加拉" sheetId="29" state="hidden" r:id="rId3"/>
    <sheet name="11月Emily-人民币" sheetId="31" r:id="rId4"/>
    <sheet name="11月Emily-美金" sheetId="30" r:id="rId5"/>
    <sheet name="4月Adela (2)" sheetId="28" state="hidden" r:id="rId6"/>
    <sheet name="12月miranda" sheetId="24" state="hidden" r:id="rId7"/>
    <sheet name="对账单" sheetId="26" state="hidden" r:id="rId8"/>
    <sheet name="4月已开票" sheetId="21" state="hidden" r:id="rId9"/>
  </sheets>
  <definedNames>
    <definedName name="_xlnm._FilterDatabase" localSheetId="0" hidden="1">'2024-5月-7月-已开票'!$A$2:$O$36</definedName>
    <definedName name="_xlnm._FilterDatabase" localSheetId="1" hidden="1">'4月Adela-国内'!$A$1:$J$63</definedName>
    <definedName name="_xlnm._FilterDatabase" localSheetId="2" hidden="1">'4月Adela-孟加拉'!$A$1:$J$4</definedName>
    <definedName name="_xlnm._FilterDatabase" localSheetId="3" hidden="1">'11月Emily-人民币'!$A$1:$J$29</definedName>
    <definedName name="_xlnm._FilterDatabase" localSheetId="4" hidden="1">'11月Emily-美金'!$A$1:$J$9</definedName>
    <definedName name="_xlnm._FilterDatabase" localSheetId="5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<sst xmlns="http://schemas.openxmlformats.org/spreadsheetml/2006/main" count="586" uniqueCount="225">
  <si>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</si>
  <si>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</si>
  <si>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</si>
  <si>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</si>
  <si>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</si>
  <si>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</si>
  <si>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</si>
  <si>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</si>
  <si>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</si>
  <si>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</si>
  <si>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</si>
  <si>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</si>
  <si>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</si>
  <si>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</si>
  <si>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</si>
  <si>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</si>
  <si>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</si>
  <si>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</si>
  <si>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</si>
  <si>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</si>
  <si>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</si>
  <si>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</si>
  <si>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</si>
  <si>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</si>
  <si>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</si>
  <si>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</si>
  <si>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</si>
  <si>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</si>
  <si>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</si>
  <si>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</si>
  <si>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</si>
  <si>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</si>
  <si>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</si>
  <si>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</si>
  <si>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</si>
  <si>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</si>
  <si>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</si>
  <si>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</si>
  <si>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</si>
  <si>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</si>
  <si>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</si>
  <si>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</si>
  <si>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</si>
  <si>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</si>
  <si>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</si>
  <si>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</si>
  <si>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</si>
  <si>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</si>
  <si>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</si>
  <si>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</si>
  <si>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</si>
  <si>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</si>
  <si>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</si>
  <si>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</si>
  <si>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</si>
  <si>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</si>
  <si>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</si>
  <si>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</si>
  <si>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</si>
  <si>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</si>
  <si>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白色缎带洗标CLBCGEN003*5页-60*25mm（加页码）</t>
  </si>
  <si>
    <t>RBSKNJTD015</t>
  </si>
  <si>
    <t>2025.1.23</t>
  </si>
  <si>
    <t>白色胶带洗标35*100mm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</si>
  <si>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</si>
  <si>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</si>
  <si>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</si>
  <si>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</si>
  <si>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RFID白织标-51*51mm（+3%）</t>
  </si>
  <si>
    <t>WLBCRFI005 RFID白织标-51*51mm-免费损耗1%</t>
  </si>
  <si>
    <t>WLBCRFI005 RFID白织标-51*51mm-大货样</t>
  </si>
  <si>
    <t>2025.2.18</t>
  </si>
  <si>
    <t>白色吊牌HPBCRFI001-60*95mm-RFID LOGO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</si>
  <si>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</si>
  <si>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</si>
  <si>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</si>
  <si>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</si>
  <si>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</si>
  <si>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2025.4.9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</si>
  <si>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</si>
  <si>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</si>
  <si>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</si>
  <si>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</si>
  <si>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</si>
  <si>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</si>
  <si>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</si>
  <si>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</si>
  <si>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WLBCRFI005 RFID白织标-51*51mm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</si>
  <si>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</si>
  <si>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</si>
  <si>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</si>
  <si>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</si>
  <si>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</si>
  <si>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</si>
  <si>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</si>
  <si>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WLBCRFI005 RFID白织标-51*51mm-免费大货样</t>
  </si>
  <si>
    <t>77272
77274</t>
  </si>
  <si>
    <t>RBSKNJTD024</t>
  </si>
  <si>
    <t>PALOMA 6770-046-800
BANGLADESH 男上装 翻单1</t>
  </si>
  <si>
    <t>76620
77608
77639</t>
  </si>
  <si>
    <t>RBSKNJTD027</t>
  </si>
  <si>
    <t>FOOTIE 6371-046-251
CHINA 男上装</t>
  </si>
  <si>
    <t>2025.4.11</t>
  </si>
  <si>
    <t>白色RFID织标WLBCRFI013-65*19mm</t>
  </si>
  <si>
    <t>白色RFID织标WLBCRFI013-65*19mm-免费损耗1%</t>
  </si>
  <si>
    <t>白色RFID织标WLBCRFI013-65*19mm-大货样</t>
  </si>
  <si>
    <t>白色缎带洗标CLBCGEN003*4页-60*25mm（加页码）</t>
  </si>
  <si>
    <t>BKKBXM24002 空白标（60*25mm）</t>
  </si>
  <si>
    <t>配比装胶带贴纸  BKSKR24014</t>
  </si>
  <si>
    <t>2025.4.21</t>
  </si>
  <si>
    <t>纸板-32cm*48cm-300g BKOTH25001</t>
  </si>
  <si>
    <t>油性拷贝纸-75*100cm-21g BKOTH25008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</si>
  <si>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</si>
  <si>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</si>
  <si>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</si>
  <si>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</si>
  <si>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</si>
  <si>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Emily</t>
  </si>
  <si>
    <t>40637
40647
40649</t>
  </si>
  <si>
    <t>RBSKNJTD098</t>
  </si>
  <si>
    <t>CLUBBING 1089-046-800/717
China 男士衬衫</t>
  </si>
  <si>
    <t>2025.10.24</t>
  </si>
  <si>
    <t>纸板-15*34cm-300g BKZC25006</t>
  </si>
  <si>
    <t>RBSKNJTD0105</t>
  </si>
  <si>
    <r>
      <rPr>
        <sz val="11"/>
        <rFont val="微软雅黑"/>
        <charset val="134"/>
      </rPr>
      <t>CHASTAIN 1183-140-</t>
    </r>
    <r>
      <rPr>
        <sz val="11"/>
        <color rgb="FFFF0000"/>
        <rFont val="微软雅黑"/>
        <charset val="134"/>
      </rPr>
      <t>422</t>
    </r>
    <r>
      <rPr>
        <sz val="11"/>
        <rFont val="微软雅黑"/>
        <charset val="134"/>
      </rPr>
      <t xml:space="preserve">
China 男外套</t>
    </r>
  </si>
  <si>
    <t>2025.11.11</t>
  </si>
  <si>
    <t>黑色织标WLBCRFI006-51*51mm-RFID</t>
  </si>
  <si>
    <t>黑色织标WLBCRFI006-51*51mm-免费损耗1%</t>
  </si>
  <si>
    <t>黑色织标WLBCRFI006-51*51mm-大货样</t>
  </si>
  <si>
    <t>2025.11.12</t>
  </si>
  <si>
    <t>2025.11.15</t>
  </si>
  <si>
    <t>黑色 吊绳 MRBCGEN004-320*1.5mm</t>
  </si>
  <si>
    <t>RBSKNJTD0106</t>
  </si>
  <si>
    <r>
      <rPr>
        <sz val="11"/>
        <rFont val="微软雅黑"/>
        <charset val="134"/>
      </rPr>
      <t>CHASTAIN 1182-046-</t>
    </r>
    <r>
      <rPr>
        <sz val="11"/>
        <color rgb="FFFF0000"/>
        <rFont val="微软雅黑"/>
        <charset val="134"/>
      </rPr>
      <t>422</t>
    </r>
    <r>
      <rPr>
        <sz val="11"/>
        <rFont val="微软雅黑"/>
        <charset val="134"/>
      </rPr>
      <t xml:space="preserve">
China 男裤子</t>
    </r>
  </si>
  <si>
    <t>白色RFID织标WLBCRFI015-65*20mm</t>
  </si>
  <si>
    <t>白色RFID织标WLBCRFI015-65*20mm-免费损耗1%</t>
  </si>
  <si>
    <t>白色RFID织标WLBCRFI015-65*20mm-大货样</t>
  </si>
  <si>
    <t>白色织标WLBCGEN020(06B）-85*20mm</t>
  </si>
  <si>
    <t>43319
43320</t>
  </si>
  <si>
    <t>RBSKNJTD0107</t>
  </si>
  <si>
    <t>NABO 1332-046-205
BANGLADESH 男夹克</t>
  </si>
  <si>
    <t>2025.11.13</t>
  </si>
  <si>
    <t>2025.11.22</t>
  </si>
  <si>
    <t>黑色织标WLBCGEN013-51*51mm</t>
  </si>
  <si>
    <t>6776-046款差额</t>
  </si>
  <si>
    <t>少开金额</t>
  </si>
  <si>
    <t>5419-046款差额</t>
  </si>
  <si>
    <t>多开金额</t>
  </si>
  <si>
    <t>6793-046款差额</t>
  </si>
  <si>
    <t>5420-046款差额</t>
  </si>
  <si>
    <t>5424-046款差额</t>
  </si>
  <si>
    <t>6412-046款差额</t>
  </si>
  <si>
    <t>共</t>
  </si>
  <si>
    <t>白色RFID织标WLBCRFI013-65*20mm</t>
  </si>
  <si>
    <t>10月对账单</t>
  </si>
  <si>
    <t>白色RFID织标WLBCRFI013-65*20mm-免费损耗1%</t>
  </si>
  <si>
    <t>白色RFID织标WLBCRFI013-65*20mm-大货样</t>
  </si>
  <si>
    <t>空白标BKKBXM24002（60*25mm）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</si>
  <si>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</si>
  <si>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</si>
  <si>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</si>
  <si>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</si>
  <si>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</si>
  <si>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</si>
  <si>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</si>
  <si>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</si>
  <si>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</si>
  <si>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</si>
  <si>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</si>
  <si>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</si>
  <si>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</si>
  <si>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</si>
  <si>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同德</t>
  </si>
  <si>
    <t>南京同德服装有限公司</t>
  </si>
  <si>
    <t>按客户要求开</t>
  </si>
  <si>
    <t>于梅</t>
  </si>
  <si>
    <t>源艺</t>
  </si>
  <si>
    <t>百思兰德</t>
  </si>
  <si>
    <r>
      <rPr>
        <sz val="11"/>
        <rFont val="微软雅黑"/>
        <charset val="134"/>
      </rPr>
      <t>40371
40373
40469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40470</t>
    </r>
  </si>
  <si>
    <t>RBSKNJTD0102</t>
  </si>
  <si>
    <t>NONPOINT 0803-046-605/800
BANGLADESH 男上棉衣 补单</t>
  </si>
  <si>
    <t>2025/11/5
2025/11/6
2025/11/8
2025/11/11</t>
  </si>
  <si>
    <t>价格贴：红 BKSKR24002 蓝 BKSKR24001</t>
  </si>
  <si>
    <t>白色吊牌HPBCRFI001-60*95mm-RFID LOGO-1%损耗</t>
  </si>
  <si>
    <t>白色缎带洗标CLBCGEN003*4页-60*25mm（1%损耗）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</si>
  <si>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</si>
  <si>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</si>
  <si>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</si>
  <si>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</si>
  <si>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</si>
  <si>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Emily
吊绳单独放</t>
  </si>
  <si>
    <t>77253
77468</t>
  </si>
  <si>
    <t>RBSKNJTD026</t>
  </si>
  <si>
    <t>MISO 6776-046-600/800
BANGLADESH 男上装 夹克 加单</t>
  </si>
  <si>
    <t>77271
77276
77277
77278
77279
77280
77281
77340</t>
  </si>
  <si>
    <t>RBSKNJTD036</t>
  </si>
  <si>
    <t>MISO 5419-046-600/800
BANGLADESH 男下装 裤子 补单</t>
  </si>
  <si>
    <t>2025.4.17</t>
  </si>
  <si>
    <t>白色缎带洗标CLBCGEN003*4页-60*25mm</t>
  </si>
  <si>
    <t>白色RFID织标WLBCRFI015-65*19mm</t>
  </si>
  <si>
    <t>白色RFID织标WLBCRFI015-65*19mm-免费损耗1%</t>
  </si>
  <si>
    <t>miranda</t>
  </si>
  <si>
    <t>RBSKNJTD012</t>
  </si>
  <si>
    <t>1003-409、415、416、051</t>
  </si>
  <si>
    <t>2024.12.21</t>
  </si>
  <si>
    <t>纸板-24.5cm*34.5cm-300gBKOTH24007</t>
  </si>
  <si>
    <t>佰益进服装南京有限公司</t>
  </si>
  <si>
    <t>纸板</t>
  </si>
  <si>
    <t>按照对账单开</t>
  </si>
  <si>
    <t>个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</si>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</sst>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color rgb="FF000000"/>
      <name val="宋体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horizontal="center" vertical="center"/>
    </xf>
    <xf numFmtId="0" fontId="41" fillId="0" borderId="0">
      <alignment horizontal="center" vertical="center"/>
    </xf>
    <xf numFmtId="0" fontId="41" fillId="0" borderId="0">
      <alignment horizontal="center" vertical="center"/>
    </xf>
    <xf numFmtId="0" fontId="42" fillId="0" borderId="0">
      <alignment vertical="center"/>
    </xf>
    <xf numFmtId="0" fontId="0" fillId="0" borderId="0">
      <alignment vertical="center"/>
    </xf>
    <xf numFmtId="0" fontId="41" fillId="0" borderId="0">
      <alignment horizontal="center" vertical="center"/>
    </xf>
  </cellStyleXfs>
  <cellXfs count="1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9" fontId="6" fillId="3" borderId="1" xfId="0" applyNumberFormat="1" applyFont="1" applyFill="1" applyBorder="1" applyAlignment="1">
      <alignment horizontal="center" vertical="center"/>
    </xf>
    <xf numFmtId="179" fontId="19" fillId="0" borderId="0" xfId="0" applyNumberFormat="1" applyFont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14" fontId="19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9" fontId="17" fillId="0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179" fontId="0" fillId="0" borderId="0" xfId="0" applyNumberFormat="1">
      <alignment vertical="center"/>
    </xf>
    <xf numFmtId="0" fontId="8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58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8" fontId="15" fillId="0" borderId="9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10" t="s">
        <v>14</v>
      </c>
    </row>
    <row r="3" ht="16.5" spans="1:15">
      <c r="A3" s="104">
        <v>45439</v>
      </c>
      <c r="B3" s="15" t="s">
        <v>15</v>
      </c>
      <c r="C3" s="105">
        <v>54401</v>
      </c>
      <c r="D3" s="106" t="s">
        <v>16</v>
      </c>
      <c r="E3" s="105" t="s">
        <v>17</v>
      </c>
      <c r="F3" s="105" t="s">
        <v>18</v>
      </c>
      <c r="G3" s="107">
        <v>10500</v>
      </c>
      <c r="H3" s="107">
        <f t="shared" ref="H3:H32" si="0">G3-I3</f>
        <v>500</v>
      </c>
      <c r="I3" s="105">
        <v>10000</v>
      </c>
      <c r="J3" s="20">
        <v>0.368</v>
      </c>
      <c r="K3" s="108">
        <f t="shared" ref="K3:K35" si="1">I3*J3</f>
        <v>3680</v>
      </c>
      <c r="L3" s="12" t="s">
        <v>19</v>
      </c>
      <c r="M3" s="20">
        <v>21028</v>
      </c>
      <c r="N3" s="20">
        <v>0.368</v>
      </c>
      <c r="O3" s="20">
        <v>7738.304</v>
      </c>
    </row>
    <row r="4" ht="16.5" spans="1:15">
      <c r="A4" s="104"/>
      <c r="B4" s="15"/>
      <c r="C4" s="105"/>
      <c r="D4" s="106"/>
      <c r="E4" s="105"/>
      <c r="F4" s="109">
        <v>45476</v>
      </c>
      <c r="G4" s="107">
        <v>11582</v>
      </c>
      <c r="H4" s="107">
        <f t="shared" si="0"/>
        <v>554</v>
      </c>
      <c r="I4" s="105">
        <v>11028</v>
      </c>
      <c r="J4" s="20">
        <v>0.368</v>
      </c>
      <c r="K4" s="108">
        <f t="shared" si="1"/>
        <v>4058.304</v>
      </c>
      <c r="L4" s="110"/>
      <c r="M4" s="20"/>
      <c r="N4" s="20"/>
      <c r="O4" s="20"/>
    </row>
    <row r="5" ht="16.5" spans="1:15">
      <c r="A5" s="104"/>
      <c r="B5" s="15"/>
      <c r="C5" s="105"/>
      <c r="D5" s="106"/>
      <c r="E5" s="105"/>
      <c r="F5" s="105" t="s">
        <v>18</v>
      </c>
      <c r="G5" s="107">
        <v>10500</v>
      </c>
      <c r="H5" s="107">
        <f t="shared" si="0"/>
        <v>500</v>
      </c>
      <c r="I5" s="105">
        <v>10000</v>
      </c>
      <c r="J5" s="15">
        <f>0.042*8</f>
        <v>0.336</v>
      </c>
      <c r="K5" s="108">
        <f t="shared" si="1"/>
        <v>3360</v>
      </c>
      <c r="L5" s="108" t="s">
        <v>20</v>
      </c>
      <c r="M5" s="20">
        <v>21028</v>
      </c>
      <c r="N5" s="15">
        <f>0.042*8</f>
        <v>0.336</v>
      </c>
      <c r="O5" s="20">
        <v>7065.408</v>
      </c>
    </row>
    <row r="6" ht="16" customHeight="1" spans="1:15">
      <c r="A6" s="104"/>
      <c r="B6" s="15"/>
      <c r="C6" s="105"/>
      <c r="D6" s="106"/>
      <c r="E6" s="105"/>
      <c r="F6" s="109">
        <v>45476</v>
      </c>
      <c r="G6" s="107">
        <v>11583</v>
      </c>
      <c r="H6" s="107">
        <f t="shared" si="0"/>
        <v>555</v>
      </c>
      <c r="I6" s="105">
        <v>11028</v>
      </c>
      <c r="J6" s="15">
        <f>0.042*8</f>
        <v>0.336</v>
      </c>
      <c r="K6" s="108">
        <f t="shared" si="1"/>
        <v>3705.408</v>
      </c>
      <c r="L6" s="111"/>
      <c r="M6" s="20"/>
      <c r="N6" s="20"/>
      <c r="O6" s="20"/>
    </row>
    <row r="7" ht="16" customHeight="1" spans="1:15">
      <c r="A7" s="104"/>
      <c r="B7" s="15"/>
      <c r="C7" s="105"/>
      <c r="D7" s="106"/>
      <c r="E7" s="105"/>
      <c r="F7" s="109">
        <v>45476</v>
      </c>
      <c r="G7" s="107">
        <v>22079.4</v>
      </c>
      <c r="H7" s="107">
        <f t="shared" si="0"/>
        <v>1051.4</v>
      </c>
      <c r="I7" s="105">
        <v>21028</v>
      </c>
      <c r="J7" s="20">
        <v>0.294</v>
      </c>
      <c r="K7" s="108">
        <f t="shared" si="1"/>
        <v>6182.232</v>
      </c>
      <c r="L7" s="20" t="s">
        <v>21</v>
      </c>
      <c r="M7" s="20">
        <v>21028</v>
      </c>
      <c r="N7" s="20">
        <v>0.294</v>
      </c>
      <c r="O7" s="20">
        <v>6182.232</v>
      </c>
    </row>
    <row r="8" ht="16" customHeight="1" spans="1:15">
      <c r="A8" s="104"/>
      <c r="B8" s="15"/>
      <c r="C8" s="105"/>
      <c r="D8" s="106"/>
      <c r="E8" s="105"/>
      <c r="F8" s="109">
        <v>45476</v>
      </c>
      <c r="G8" s="107">
        <v>22079.4</v>
      </c>
      <c r="H8" s="107">
        <f t="shared" si="0"/>
        <v>1051.4</v>
      </c>
      <c r="I8" s="105">
        <v>21028</v>
      </c>
      <c r="J8" s="20">
        <v>0.116</v>
      </c>
      <c r="K8" s="108">
        <f t="shared" si="1"/>
        <v>2439.248</v>
      </c>
      <c r="L8" s="20" t="s">
        <v>22</v>
      </c>
      <c r="M8" s="20">
        <v>21028</v>
      </c>
      <c r="N8" s="20">
        <v>0.116</v>
      </c>
      <c r="O8" s="20">
        <v>2439.248</v>
      </c>
    </row>
    <row r="9" ht="16.5" spans="1:15">
      <c r="A9" s="104">
        <v>45439</v>
      </c>
      <c r="B9" s="15" t="s">
        <v>15</v>
      </c>
      <c r="C9" s="105">
        <v>54404</v>
      </c>
      <c r="D9" s="106" t="s">
        <v>23</v>
      </c>
      <c r="E9" s="105" t="s">
        <v>24</v>
      </c>
      <c r="F9" s="109">
        <v>45470</v>
      </c>
      <c r="G9" s="107">
        <f>I9*1.05</f>
        <v>31500</v>
      </c>
      <c r="H9" s="107">
        <f t="shared" si="0"/>
        <v>1500</v>
      </c>
      <c r="I9" s="105">
        <v>30000</v>
      </c>
      <c r="J9" s="20">
        <v>0.368</v>
      </c>
      <c r="K9" s="108">
        <f t="shared" si="1"/>
        <v>11040</v>
      </c>
      <c r="L9" s="12" t="s">
        <v>19</v>
      </c>
      <c r="M9" s="20">
        <v>31526</v>
      </c>
      <c r="N9" s="20">
        <v>0.368</v>
      </c>
      <c r="O9" s="20">
        <v>11601.568</v>
      </c>
    </row>
    <row r="10" ht="16.5" spans="1:15">
      <c r="A10" s="104"/>
      <c r="B10" s="15"/>
      <c r="C10" s="105"/>
      <c r="D10" s="106"/>
      <c r="E10" s="105"/>
      <c r="F10" s="109">
        <v>45476</v>
      </c>
      <c r="G10" s="107">
        <v>1605</v>
      </c>
      <c r="H10" s="107">
        <f t="shared" si="0"/>
        <v>79</v>
      </c>
      <c r="I10" s="105">
        <v>1526</v>
      </c>
      <c r="J10" s="20">
        <v>0.368</v>
      </c>
      <c r="K10" s="108">
        <f t="shared" si="1"/>
        <v>561.568</v>
      </c>
      <c r="L10" s="110"/>
      <c r="M10" s="20"/>
      <c r="N10" s="15"/>
      <c r="O10" s="20"/>
    </row>
    <row r="11" ht="16.5" spans="1:15">
      <c r="A11" s="104"/>
      <c r="B11" s="15"/>
      <c r="C11" s="105"/>
      <c r="D11" s="106"/>
      <c r="E11" s="105"/>
      <c r="F11" s="109">
        <v>45470</v>
      </c>
      <c r="G11" s="107">
        <f>I11*1.05</f>
        <v>31500</v>
      </c>
      <c r="H11" s="107">
        <f t="shared" si="0"/>
        <v>1500</v>
      </c>
      <c r="I11" s="105">
        <v>30000</v>
      </c>
      <c r="J11" s="15">
        <f>0.042*6</f>
        <v>0.252</v>
      </c>
      <c r="K11" s="108">
        <f t="shared" si="1"/>
        <v>7560</v>
      </c>
      <c r="L11" s="108" t="s">
        <v>25</v>
      </c>
      <c r="M11" s="20">
        <f>189156/6</f>
        <v>31526</v>
      </c>
      <c r="N11" s="15">
        <f>0.042*6</f>
        <v>0.252</v>
      </c>
      <c r="O11" s="20">
        <v>7944.552</v>
      </c>
    </row>
    <row r="12" ht="16" customHeight="1" spans="1:15">
      <c r="A12" s="104"/>
      <c r="B12" s="15"/>
      <c r="C12" s="105"/>
      <c r="D12" s="106"/>
      <c r="E12" s="105"/>
      <c r="F12" s="109">
        <v>45476</v>
      </c>
      <c r="G12" s="107">
        <v>1607</v>
      </c>
      <c r="H12" s="107">
        <f t="shared" si="0"/>
        <v>81</v>
      </c>
      <c r="I12" s="105">
        <v>1526</v>
      </c>
      <c r="J12" s="15">
        <f>0.042*6</f>
        <v>0.252</v>
      </c>
      <c r="K12" s="108">
        <f t="shared" si="1"/>
        <v>384.552</v>
      </c>
      <c r="L12" s="111"/>
      <c r="M12" s="20"/>
      <c r="N12" s="20"/>
      <c r="O12" s="20"/>
    </row>
    <row r="13" ht="16" customHeight="1" spans="1:15">
      <c r="A13" s="104"/>
      <c r="B13" s="15"/>
      <c r="C13" s="105"/>
      <c r="D13" s="106"/>
      <c r="E13" s="105"/>
      <c r="F13" s="109">
        <v>45476</v>
      </c>
      <c r="G13" s="107">
        <v>33102</v>
      </c>
      <c r="H13" s="107">
        <f t="shared" si="0"/>
        <v>1576</v>
      </c>
      <c r="I13" s="105">
        <v>31526</v>
      </c>
      <c r="J13" s="20">
        <v>0.294</v>
      </c>
      <c r="K13" s="108">
        <f t="shared" si="1"/>
        <v>9268.644</v>
      </c>
      <c r="L13" s="20" t="s">
        <v>21</v>
      </c>
      <c r="M13" s="20">
        <v>31526</v>
      </c>
      <c r="N13" s="20">
        <v>0.294</v>
      </c>
      <c r="O13" s="20">
        <v>9268.644</v>
      </c>
    </row>
    <row r="14" ht="16" customHeight="1" spans="1:15">
      <c r="A14" s="104"/>
      <c r="B14" s="15"/>
      <c r="C14" s="105"/>
      <c r="D14" s="106"/>
      <c r="E14" s="105"/>
      <c r="F14" s="109">
        <v>45476</v>
      </c>
      <c r="G14" s="107">
        <v>33102</v>
      </c>
      <c r="H14" s="107">
        <f t="shared" si="0"/>
        <v>1576</v>
      </c>
      <c r="I14" s="105">
        <v>31526</v>
      </c>
      <c r="J14" s="20">
        <v>0.116</v>
      </c>
      <c r="K14" s="108">
        <f t="shared" si="1"/>
        <v>3657.016</v>
      </c>
      <c r="L14" s="20" t="s">
        <v>22</v>
      </c>
      <c r="M14" s="20">
        <v>31526</v>
      </c>
      <c r="N14" s="20">
        <v>0.116</v>
      </c>
      <c r="O14" s="20">
        <v>3657.016</v>
      </c>
    </row>
    <row r="15" ht="32" customHeight="1" spans="1:15">
      <c r="A15" s="104">
        <v>45477</v>
      </c>
      <c r="B15" s="15" t="s">
        <v>26</v>
      </c>
      <c r="C15" s="105">
        <v>58394</v>
      </c>
      <c r="D15" s="106" t="s">
        <v>27</v>
      </c>
      <c r="E15" s="105" t="s">
        <v>28</v>
      </c>
      <c r="F15" s="109">
        <v>45484</v>
      </c>
      <c r="G15" s="107">
        <f>I15*1.05</f>
        <v>771.75</v>
      </c>
      <c r="H15" s="107">
        <f t="shared" si="0"/>
        <v>36.75</v>
      </c>
      <c r="I15" s="105">
        <v>735</v>
      </c>
      <c r="J15" s="20">
        <v>0.254</v>
      </c>
      <c r="K15" s="108">
        <f t="shared" si="1"/>
        <v>186.69</v>
      </c>
      <c r="L15" s="20" t="s">
        <v>29</v>
      </c>
      <c r="M15" s="20">
        <v>735</v>
      </c>
      <c r="N15" s="20">
        <v>0.254</v>
      </c>
      <c r="O15" s="20">
        <v>186.69</v>
      </c>
    </row>
    <row r="16" ht="32" customHeight="1" spans="1:15">
      <c r="A16" s="104"/>
      <c r="B16" s="15"/>
      <c r="C16" s="105"/>
      <c r="D16" s="106"/>
      <c r="E16" s="105"/>
      <c r="F16" s="109">
        <v>45484</v>
      </c>
      <c r="G16" s="107">
        <f>I16*1.05</f>
        <v>771.75</v>
      </c>
      <c r="H16" s="107">
        <f t="shared" si="0"/>
        <v>36.75</v>
      </c>
      <c r="I16" s="105">
        <v>735</v>
      </c>
      <c r="J16" s="20">
        <v>0.15</v>
      </c>
      <c r="K16" s="108">
        <f t="shared" si="1"/>
        <v>110.25</v>
      </c>
      <c r="L16" s="20" t="s">
        <v>30</v>
      </c>
      <c r="M16" s="20">
        <v>735</v>
      </c>
      <c r="N16" s="20">
        <v>0.15</v>
      </c>
      <c r="O16" s="20">
        <v>110.25</v>
      </c>
    </row>
    <row r="17" ht="32" customHeight="1" spans="1:15">
      <c r="A17" s="104"/>
      <c r="B17" s="15"/>
      <c r="C17" s="105"/>
      <c r="D17" s="106"/>
      <c r="E17" s="105"/>
      <c r="F17" s="109">
        <v>45484</v>
      </c>
      <c r="G17" s="107">
        <v>2200</v>
      </c>
      <c r="H17" s="107">
        <f t="shared" si="0"/>
        <v>100</v>
      </c>
      <c r="I17" s="105">
        <v>2100</v>
      </c>
      <c r="J17" s="20">
        <v>0.12</v>
      </c>
      <c r="K17" s="108">
        <f t="shared" si="1"/>
        <v>252</v>
      </c>
      <c r="L17" s="108" t="s">
        <v>31</v>
      </c>
      <c r="M17" s="20"/>
      <c r="N17" s="20"/>
      <c r="O17" s="20"/>
    </row>
    <row r="18" ht="32" customHeight="1" spans="1:15">
      <c r="A18" s="104"/>
      <c r="B18" s="15"/>
      <c r="C18" s="105"/>
      <c r="D18" s="106"/>
      <c r="E18" s="105"/>
      <c r="F18" s="109">
        <v>45485</v>
      </c>
      <c r="G18" s="107">
        <v>30500</v>
      </c>
      <c r="H18" s="107">
        <f t="shared" si="0"/>
        <v>8</v>
      </c>
      <c r="I18" s="105">
        <v>30492</v>
      </c>
      <c r="J18" s="20">
        <v>0.12</v>
      </c>
      <c r="K18" s="108">
        <f t="shared" si="1"/>
        <v>3659.04</v>
      </c>
      <c r="L18" s="111"/>
      <c r="M18" s="20">
        <v>32592</v>
      </c>
      <c r="N18" s="20">
        <v>0.12</v>
      </c>
      <c r="O18" s="20">
        <v>3911.04</v>
      </c>
    </row>
    <row r="19" ht="16" customHeight="1" spans="1:15">
      <c r="A19" s="11">
        <v>45477</v>
      </c>
      <c r="B19" s="12" t="s">
        <v>26</v>
      </c>
      <c r="C19" s="13">
        <v>58401</v>
      </c>
      <c r="D19" s="14" t="s">
        <v>32</v>
      </c>
      <c r="E19" s="13" t="s">
        <v>33</v>
      </c>
      <c r="F19" s="112">
        <v>45484</v>
      </c>
      <c r="G19" s="107">
        <v>561</v>
      </c>
      <c r="H19" s="107">
        <f t="shared" si="0"/>
        <v>26</v>
      </c>
      <c r="I19" s="13">
        <v>535</v>
      </c>
      <c r="J19" s="20">
        <v>0.254</v>
      </c>
      <c r="K19" s="108">
        <f t="shared" si="1"/>
        <v>135.89</v>
      </c>
      <c r="L19" s="20" t="s">
        <v>29</v>
      </c>
      <c r="M19" s="20">
        <v>535</v>
      </c>
      <c r="N19" s="20">
        <v>0.254</v>
      </c>
      <c r="O19" s="20">
        <v>135.89</v>
      </c>
    </row>
    <row r="20" ht="16" customHeight="1" spans="1:15">
      <c r="A20" s="16"/>
      <c r="B20" s="17"/>
      <c r="C20" s="18"/>
      <c r="D20" s="19"/>
      <c r="E20" s="18"/>
      <c r="F20" s="112">
        <v>45484</v>
      </c>
      <c r="G20" s="107">
        <v>561</v>
      </c>
      <c r="H20" s="107">
        <f t="shared" si="0"/>
        <v>26</v>
      </c>
      <c r="I20" s="13">
        <v>535</v>
      </c>
      <c r="J20" s="20">
        <v>0.15</v>
      </c>
      <c r="K20" s="108">
        <f t="shared" si="1"/>
        <v>80.25</v>
      </c>
      <c r="L20" s="20" t="s">
        <v>30</v>
      </c>
      <c r="M20" s="20">
        <v>535</v>
      </c>
      <c r="N20" s="20">
        <v>0.15</v>
      </c>
      <c r="O20" s="20">
        <v>80.25</v>
      </c>
    </row>
    <row r="21" ht="16" customHeight="1" spans="1:15">
      <c r="A21" s="104">
        <v>45483</v>
      </c>
      <c r="B21" s="15" t="s">
        <v>26</v>
      </c>
      <c r="C21" s="105" t="s">
        <v>34</v>
      </c>
      <c r="D21" s="106" t="s">
        <v>35</v>
      </c>
      <c r="E21" s="105" t="s">
        <v>36</v>
      </c>
      <c r="F21" s="109">
        <v>45491</v>
      </c>
      <c r="G21" s="107">
        <f t="shared" ref="G21:G32" si="2">I21*1.05</f>
        <v>25213.65</v>
      </c>
      <c r="H21" s="107">
        <f t="shared" si="0"/>
        <v>1200.65</v>
      </c>
      <c r="I21" s="13">
        <v>24013</v>
      </c>
      <c r="J21" s="20">
        <v>0.368</v>
      </c>
      <c r="K21" s="108">
        <f t="shared" si="1"/>
        <v>8836.784</v>
      </c>
      <c r="L21" s="20" t="s">
        <v>37</v>
      </c>
      <c r="M21" s="20">
        <v>24013</v>
      </c>
      <c r="N21" s="20">
        <v>0.368</v>
      </c>
      <c r="O21" s="20">
        <v>8836.784</v>
      </c>
    </row>
    <row r="22" ht="16" customHeight="1" spans="1:15">
      <c r="A22" s="104"/>
      <c r="B22" s="15"/>
      <c r="C22" s="105"/>
      <c r="D22" s="106"/>
      <c r="E22" s="105"/>
      <c r="F22" s="109">
        <v>45491</v>
      </c>
      <c r="G22" s="107">
        <f t="shared" si="2"/>
        <v>25213.65</v>
      </c>
      <c r="H22" s="107">
        <f t="shared" si="0"/>
        <v>1200.65</v>
      </c>
      <c r="I22" s="13">
        <v>24013</v>
      </c>
      <c r="J22" s="15">
        <f>0.042*7</f>
        <v>0.294</v>
      </c>
      <c r="K22" s="108">
        <f t="shared" si="1"/>
        <v>7059.822</v>
      </c>
      <c r="L22" s="20" t="s">
        <v>38</v>
      </c>
      <c r="M22" s="20">
        <f>168091/7</f>
        <v>24013</v>
      </c>
      <c r="N22" s="15">
        <f>0.042*7</f>
        <v>0.294</v>
      </c>
      <c r="O22" s="20">
        <v>7059.822</v>
      </c>
    </row>
    <row r="23" ht="16" customHeight="1" spans="1:15">
      <c r="A23" s="104"/>
      <c r="B23" s="15"/>
      <c r="C23" s="105"/>
      <c r="D23" s="106"/>
      <c r="E23" s="105"/>
      <c r="F23" s="109">
        <v>45491</v>
      </c>
      <c r="G23" s="107">
        <f t="shared" si="2"/>
        <v>25213.65</v>
      </c>
      <c r="H23" s="107">
        <f t="shared" si="0"/>
        <v>1200.65</v>
      </c>
      <c r="I23" s="13">
        <v>24013</v>
      </c>
      <c r="J23" s="20">
        <v>0.294</v>
      </c>
      <c r="K23" s="108">
        <f t="shared" si="1"/>
        <v>7059.822</v>
      </c>
      <c r="L23" s="20" t="s">
        <v>21</v>
      </c>
      <c r="M23" s="20">
        <v>24013</v>
      </c>
      <c r="N23" s="20">
        <v>0.294</v>
      </c>
      <c r="O23" s="20">
        <v>7059.822</v>
      </c>
    </row>
    <row r="24" ht="16" customHeight="1" spans="1:15">
      <c r="A24" s="104"/>
      <c r="B24" s="15"/>
      <c r="C24" s="105"/>
      <c r="D24" s="106"/>
      <c r="E24" s="105"/>
      <c r="F24" s="109">
        <v>45491</v>
      </c>
      <c r="G24" s="107">
        <f t="shared" si="2"/>
        <v>25213.65</v>
      </c>
      <c r="H24" s="107">
        <f t="shared" si="0"/>
        <v>1200.65</v>
      </c>
      <c r="I24" s="13">
        <v>24013</v>
      </c>
      <c r="J24" s="20">
        <v>0.116</v>
      </c>
      <c r="K24" s="108">
        <f t="shared" si="1"/>
        <v>2785.508</v>
      </c>
      <c r="L24" s="20" t="s">
        <v>22</v>
      </c>
      <c r="M24" s="20">
        <v>24013</v>
      </c>
      <c r="N24" s="20">
        <v>0.116</v>
      </c>
      <c r="O24" s="20">
        <v>2785.508</v>
      </c>
    </row>
    <row r="25" ht="16" customHeight="1" spans="1:15">
      <c r="A25" s="104">
        <v>45492</v>
      </c>
      <c r="B25" s="15" t="s">
        <v>39</v>
      </c>
      <c r="C25" s="105" t="s">
        <v>40</v>
      </c>
      <c r="D25" s="106" t="s">
        <v>41</v>
      </c>
      <c r="E25" s="105" t="s">
        <v>42</v>
      </c>
      <c r="F25" s="109">
        <v>45503</v>
      </c>
      <c r="G25" s="107">
        <f t="shared" si="2"/>
        <v>10500</v>
      </c>
      <c r="H25" s="107">
        <f t="shared" si="0"/>
        <v>500</v>
      </c>
      <c r="I25" s="13">
        <v>10000</v>
      </c>
      <c r="J25" s="20">
        <v>0.368</v>
      </c>
      <c r="K25" s="108">
        <f t="shared" si="1"/>
        <v>3680</v>
      </c>
      <c r="L25" s="20" t="s">
        <v>37</v>
      </c>
      <c r="M25" s="20">
        <v>10000</v>
      </c>
      <c r="N25" s="20">
        <v>0.368</v>
      </c>
      <c r="O25" s="20">
        <v>3680</v>
      </c>
    </row>
    <row r="26" ht="16" customHeight="1" spans="1:15">
      <c r="A26" s="104"/>
      <c r="B26" s="15"/>
      <c r="C26" s="105"/>
      <c r="D26" s="106"/>
      <c r="E26" s="105"/>
      <c r="F26" s="109">
        <v>45503</v>
      </c>
      <c r="G26" s="107">
        <f t="shared" si="2"/>
        <v>10500</v>
      </c>
      <c r="H26" s="107">
        <f t="shared" si="0"/>
        <v>500</v>
      </c>
      <c r="I26" s="13">
        <v>10000</v>
      </c>
      <c r="J26" s="15">
        <f>0.042*7</f>
        <v>0.294</v>
      </c>
      <c r="K26" s="108">
        <f t="shared" si="1"/>
        <v>2940</v>
      </c>
      <c r="L26" s="20" t="s">
        <v>38</v>
      </c>
      <c r="M26" s="20">
        <f>70000/7</f>
        <v>10000</v>
      </c>
      <c r="N26" s="15">
        <f>0.042*7</f>
        <v>0.294</v>
      </c>
      <c r="O26" s="20">
        <v>2940</v>
      </c>
    </row>
    <row r="27" ht="16" customHeight="1" spans="1:15">
      <c r="A27" s="104"/>
      <c r="B27" s="15"/>
      <c r="C27" s="105"/>
      <c r="D27" s="106"/>
      <c r="E27" s="105"/>
      <c r="F27" s="109">
        <v>45503</v>
      </c>
      <c r="G27" s="107">
        <f t="shared" si="2"/>
        <v>10500</v>
      </c>
      <c r="H27" s="107">
        <f t="shared" si="0"/>
        <v>500</v>
      </c>
      <c r="I27" s="13">
        <v>10000</v>
      </c>
      <c r="J27" s="13">
        <v>0.294</v>
      </c>
      <c r="K27" s="13">
        <f t="shared" si="1"/>
        <v>2940</v>
      </c>
      <c r="L27" s="13" t="s">
        <v>21</v>
      </c>
      <c r="M27" s="13">
        <v>10000</v>
      </c>
      <c r="N27" s="13">
        <v>0.294</v>
      </c>
      <c r="O27" s="13">
        <v>2940</v>
      </c>
    </row>
    <row r="28" ht="16" customHeight="1" spans="1:15">
      <c r="A28" s="104"/>
      <c r="B28" s="15"/>
      <c r="C28" s="105"/>
      <c r="D28" s="106"/>
      <c r="E28" s="105"/>
      <c r="F28" s="109">
        <v>45503</v>
      </c>
      <c r="G28" s="107">
        <f t="shared" si="2"/>
        <v>10500</v>
      </c>
      <c r="H28" s="107">
        <f t="shared" si="0"/>
        <v>500</v>
      </c>
      <c r="I28" s="13">
        <v>10000</v>
      </c>
      <c r="J28" s="13">
        <v>0.116</v>
      </c>
      <c r="K28" s="13">
        <f t="shared" si="1"/>
        <v>1160</v>
      </c>
      <c r="L28" s="13" t="s">
        <v>22</v>
      </c>
      <c r="M28" s="13">
        <v>10000</v>
      </c>
      <c r="N28" s="13">
        <v>0.116</v>
      </c>
      <c r="O28" s="13">
        <v>1160</v>
      </c>
    </row>
    <row r="29" ht="16" customHeight="1" spans="1:15">
      <c r="A29" s="104">
        <v>45499</v>
      </c>
      <c r="B29" s="15" t="s">
        <v>39</v>
      </c>
      <c r="C29" s="105" t="s">
        <v>43</v>
      </c>
      <c r="D29" s="106" t="s">
        <v>44</v>
      </c>
      <c r="E29" s="105" t="s">
        <v>45</v>
      </c>
      <c r="F29" s="109">
        <v>45503</v>
      </c>
      <c r="G29" s="107">
        <f t="shared" si="2"/>
        <v>9765</v>
      </c>
      <c r="H29" s="107">
        <f t="shared" si="0"/>
        <v>465</v>
      </c>
      <c r="I29" s="13">
        <v>9300</v>
      </c>
      <c r="J29" s="13">
        <v>0.368</v>
      </c>
      <c r="K29" s="13">
        <f t="shared" si="1"/>
        <v>3422.4</v>
      </c>
      <c r="L29" s="13" t="s">
        <v>37</v>
      </c>
      <c r="M29" s="13">
        <v>9300</v>
      </c>
      <c r="N29" s="13">
        <v>0.368</v>
      </c>
      <c r="O29" s="13">
        <v>3422.4</v>
      </c>
    </row>
    <row r="30" ht="16" customHeight="1" spans="1:15">
      <c r="A30" s="104"/>
      <c r="B30" s="15"/>
      <c r="C30" s="105"/>
      <c r="D30" s="106"/>
      <c r="E30" s="105"/>
      <c r="F30" s="109">
        <v>45503</v>
      </c>
      <c r="G30" s="107">
        <f t="shared" si="2"/>
        <v>9765</v>
      </c>
      <c r="H30" s="107">
        <f t="shared" si="0"/>
        <v>465</v>
      </c>
      <c r="I30" s="13">
        <v>9300</v>
      </c>
      <c r="J30" s="13">
        <f>0.042*7</f>
        <v>0.294</v>
      </c>
      <c r="K30" s="13">
        <f t="shared" si="1"/>
        <v>2734.2</v>
      </c>
      <c r="L30" s="13" t="s">
        <v>38</v>
      </c>
      <c r="M30" s="13">
        <f>65100/7</f>
        <v>9300</v>
      </c>
      <c r="N30" s="13">
        <f>0.042*7</f>
        <v>0.294</v>
      </c>
      <c r="O30" s="13">
        <v>2734.2</v>
      </c>
    </row>
    <row r="31" ht="16" customHeight="1" spans="1:15">
      <c r="A31" s="104"/>
      <c r="B31" s="15"/>
      <c r="C31" s="105"/>
      <c r="D31" s="106"/>
      <c r="E31" s="105"/>
      <c r="F31" s="109">
        <v>45506</v>
      </c>
      <c r="G31" s="107">
        <f t="shared" si="2"/>
        <v>9765</v>
      </c>
      <c r="H31" s="107">
        <f t="shared" si="0"/>
        <v>465</v>
      </c>
      <c r="I31" s="13">
        <v>9300</v>
      </c>
      <c r="J31" s="13">
        <v>0.294</v>
      </c>
      <c r="K31" s="13">
        <f t="shared" si="1"/>
        <v>2734.2</v>
      </c>
      <c r="L31" s="13" t="s">
        <v>21</v>
      </c>
      <c r="M31" s="13">
        <v>9300</v>
      </c>
      <c r="N31" s="13">
        <v>0.294</v>
      </c>
      <c r="O31" s="13">
        <v>2734.2</v>
      </c>
    </row>
    <row r="32" ht="16" customHeight="1" spans="1:15">
      <c r="A32" s="104"/>
      <c r="B32" s="15"/>
      <c r="C32" s="105"/>
      <c r="D32" s="106"/>
      <c r="E32" s="105"/>
      <c r="F32" s="109">
        <v>45506</v>
      </c>
      <c r="G32" s="107">
        <f t="shared" si="2"/>
        <v>9765</v>
      </c>
      <c r="H32" s="107">
        <f t="shared" si="0"/>
        <v>465</v>
      </c>
      <c r="I32" s="13">
        <v>9300</v>
      </c>
      <c r="J32" s="13">
        <v>0.116</v>
      </c>
      <c r="K32" s="13">
        <f t="shared" si="1"/>
        <v>1078.8</v>
      </c>
      <c r="L32" s="13" t="s">
        <v>22</v>
      </c>
      <c r="M32" s="13">
        <v>9300</v>
      </c>
      <c r="N32" s="13">
        <v>0.116</v>
      </c>
      <c r="O32" s="13">
        <v>1078.8</v>
      </c>
    </row>
    <row r="33" ht="49.5" spans="1:15">
      <c r="A33" s="113">
        <v>45439</v>
      </c>
      <c r="B33" s="114" t="s">
        <v>15</v>
      </c>
      <c r="C33" s="115">
        <v>54401</v>
      </c>
      <c r="D33" s="116" t="s">
        <v>16</v>
      </c>
      <c r="E33" s="115" t="s">
        <v>17</v>
      </c>
      <c r="F33" s="105" t="s">
        <v>46</v>
      </c>
      <c r="G33" s="13">
        <v>0</v>
      </c>
      <c r="H33" s="13">
        <v>0</v>
      </c>
      <c r="I33" s="13">
        <v>10000</v>
      </c>
      <c r="J33" s="15">
        <v>0.042</v>
      </c>
      <c r="K33" s="108">
        <f t="shared" si="1"/>
        <v>420</v>
      </c>
      <c r="L33" s="20" t="s">
        <v>47</v>
      </c>
      <c r="M33" s="20">
        <v>10000</v>
      </c>
      <c r="N33" s="15">
        <v>0.042</v>
      </c>
      <c r="O33" s="20">
        <v>420</v>
      </c>
    </row>
    <row r="34" ht="49.5" spans="1:15">
      <c r="A34" s="113">
        <v>45439</v>
      </c>
      <c r="B34" s="114" t="s">
        <v>15</v>
      </c>
      <c r="C34" s="115">
        <v>54404</v>
      </c>
      <c r="D34" s="116" t="s">
        <v>23</v>
      </c>
      <c r="E34" s="115" t="s">
        <v>24</v>
      </c>
      <c r="F34" s="105" t="s">
        <v>46</v>
      </c>
      <c r="G34" s="13">
        <v>0</v>
      </c>
      <c r="H34" s="13">
        <v>0</v>
      </c>
      <c r="I34" s="13">
        <v>30000</v>
      </c>
      <c r="J34" s="15">
        <v>0.042</v>
      </c>
      <c r="K34" s="108">
        <f t="shared" si="1"/>
        <v>1260</v>
      </c>
      <c r="L34" s="20" t="s">
        <v>47</v>
      </c>
      <c r="M34" s="20">
        <v>30000</v>
      </c>
      <c r="N34" s="15">
        <v>0.042</v>
      </c>
      <c r="O34" s="20">
        <v>1260</v>
      </c>
    </row>
    <row r="35" ht="66" spans="1:15">
      <c r="A35" s="104">
        <v>45477</v>
      </c>
      <c r="B35" s="15" t="s">
        <v>26</v>
      </c>
      <c r="C35" s="105">
        <v>58401</v>
      </c>
      <c r="D35" s="106" t="s">
        <v>32</v>
      </c>
      <c r="E35" s="105" t="s">
        <v>33</v>
      </c>
      <c r="F35" s="109">
        <v>45484</v>
      </c>
      <c r="G35" s="107">
        <v>32552</v>
      </c>
      <c r="H35" s="107">
        <f>G35-I35</f>
        <v>1550</v>
      </c>
      <c r="I35" s="13">
        <v>31002</v>
      </c>
      <c r="J35" s="20">
        <v>0.1</v>
      </c>
      <c r="K35" s="108">
        <f t="shared" si="1"/>
        <v>3100.2</v>
      </c>
      <c r="L35" s="20" t="s">
        <v>48</v>
      </c>
      <c r="M35" s="20">
        <v>31002</v>
      </c>
      <c r="N35" s="20">
        <v>0.1</v>
      </c>
      <c r="O35" s="20">
        <v>3100.2</v>
      </c>
    </row>
    <row r="36" ht="17.5" spans="1:15">
      <c r="A36" s="21" t="s">
        <v>49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  <c r="O36" s="36">
        <f>SUM(O3:O35)</f>
        <v>111532.828</v>
      </c>
    </row>
    <row r="37" ht="17.5" spans="1: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workbookViewId="0">
      <selection activeCell="E17" sqref="E17:E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47" t="s">
        <v>54</v>
      </c>
      <c r="G3" s="35" t="s">
        <v>37</v>
      </c>
      <c r="H3" s="35">
        <v>6000</v>
      </c>
      <c r="I3" s="57">
        <v>0.368</v>
      </c>
      <c r="J3" s="35">
        <f t="shared" ref="J3:J17" si="0">H3*I3</f>
        <v>2208</v>
      </c>
    </row>
    <row r="4" s="1" customFormat="1" ht="16.5" spans="1:11">
      <c r="A4" s="55"/>
      <c r="B4" s="34"/>
      <c r="C4" s="29"/>
      <c r="D4" s="56"/>
      <c r="E4" s="29"/>
      <c r="F4" s="47"/>
      <c r="G4" s="35" t="s">
        <v>38</v>
      </c>
      <c r="H4" s="35">
        <f>42000/7</f>
        <v>6000</v>
      </c>
      <c r="I4" s="58">
        <f>0.042*7</f>
        <v>0.294</v>
      </c>
      <c r="J4" s="35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47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47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1">
      <c r="A7" s="59">
        <v>45663</v>
      </c>
      <c r="B7" s="34" t="s">
        <v>39</v>
      </c>
      <c r="C7" s="29" t="s">
        <v>55</v>
      </c>
      <c r="D7" s="56" t="s">
        <v>56</v>
      </c>
      <c r="E7" s="28" t="s">
        <v>57</v>
      </c>
      <c r="F7" s="60" t="s">
        <v>58</v>
      </c>
      <c r="G7" s="32" t="s">
        <v>59</v>
      </c>
      <c r="H7" s="35">
        <v>8526</v>
      </c>
      <c r="I7" s="35">
        <v>0.35</v>
      </c>
      <c r="J7" s="35">
        <f t="shared" si="0"/>
        <v>2984.1</v>
      </c>
    </row>
    <row r="8" s="1" customFormat="1" ht="16.5" spans="1:11">
      <c r="A8" s="61"/>
      <c r="B8" s="34"/>
      <c r="C8" s="29"/>
      <c r="D8" s="56"/>
      <c r="E8" s="62"/>
      <c r="F8" s="60" t="s">
        <v>58</v>
      </c>
      <c r="G8" s="32" t="s">
        <v>60</v>
      </c>
      <c r="H8" s="35">
        <f>H7</f>
        <v>8526</v>
      </c>
      <c r="I8" s="35">
        <f>0.042*5</f>
        <v>0.21</v>
      </c>
      <c r="J8" s="35">
        <f t="shared" si="0"/>
        <v>1790.46</v>
      </c>
    </row>
    <row r="9" s="1" customFormat="1" ht="16.5" spans="1:11">
      <c r="A9" s="61"/>
      <c r="B9" s="34"/>
      <c r="C9" s="29"/>
      <c r="D9" s="56"/>
      <c r="E9" s="62"/>
      <c r="F9" s="60" t="s">
        <v>58</v>
      </c>
      <c r="G9" s="32" t="s">
        <v>21</v>
      </c>
      <c r="H9" s="35">
        <v>8526</v>
      </c>
      <c r="I9" s="35">
        <v>0.28</v>
      </c>
      <c r="J9" s="35">
        <f t="shared" si="0"/>
        <v>2387.28</v>
      </c>
      <c r="K9" s="63"/>
    </row>
    <row r="10" s="1" customFormat="1" ht="16.5" spans="1:11">
      <c r="A10" s="64"/>
      <c r="B10" s="34"/>
      <c r="C10" s="29"/>
      <c r="D10" s="56"/>
      <c r="E10" s="62"/>
      <c r="F10" s="60"/>
      <c r="G10" s="32" t="s">
        <v>22</v>
      </c>
      <c r="H10" s="35">
        <v>8526</v>
      </c>
      <c r="I10" s="35">
        <v>0.11</v>
      </c>
      <c r="J10" s="35">
        <f t="shared" si="0"/>
        <v>937.86</v>
      </c>
    </row>
    <row r="11" s="1" customFormat="1" ht="16.5" spans="1:11">
      <c r="A11" s="62">
        <v>45679</v>
      </c>
      <c r="B11" s="34" t="s">
        <v>39</v>
      </c>
      <c r="C11" s="29" t="s">
        <v>43</v>
      </c>
      <c r="D11" s="30" t="s">
        <v>61</v>
      </c>
      <c r="E11" s="39" t="s">
        <v>43</v>
      </c>
      <c r="F11" s="39" t="s">
        <v>62</v>
      </c>
      <c r="G11" s="32" t="s">
        <v>63</v>
      </c>
      <c r="H11" s="32">
        <v>2000</v>
      </c>
      <c r="I11" s="32">
        <v>0.05</v>
      </c>
      <c r="J11" s="35">
        <f t="shared" si="0"/>
        <v>100</v>
      </c>
      <c r="K11" s="36"/>
    </row>
    <row r="12" s="1" customFormat="1" ht="16.5" spans="1:11">
      <c r="A12" s="28">
        <v>45700</v>
      </c>
      <c r="B12" s="29" t="s">
        <v>39</v>
      </c>
      <c r="C12" s="29" t="s">
        <v>64</v>
      </c>
      <c r="D12" s="30" t="s">
        <v>65</v>
      </c>
      <c r="E12" s="29" t="s">
        <v>66</v>
      </c>
      <c r="F12" s="31" t="s">
        <v>67</v>
      </c>
      <c r="G12" s="32" t="s">
        <v>68</v>
      </c>
      <c r="H12" s="33">
        <v>8782</v>
      </c>
      <c r="I12" s="34">
        <v>1.07</v>
      </c>
      <c r="J12" s="35">
        <f t="shared" si="0"/>
        <v>9396.74</v>
      </c>
      <c r="K12" s="36"/>
    </row>
    <row r="13" s="1" customFormat="1" ht="16.5" spans="1:11">
      <c r="A13" s="28"/>
      <c r="B13" s="29"/>
      <c r="C13" s="29"/>
      <c r="D13" s="30"/>
      <c r="E13" s="29"/>
      <c r="F13" s="37"/>
      <c r="G13" s="32" t="s">
        <v>69</v>
      </c>
      <c r="H13" s="33">
        <f>H15*0.01</f>
        <v>85.26</v>
      </c>
      <c r="I13" s="34">
        <v>0</v>
      </c>
      <c r="J13" s="35">
        <f t="shared" si="0"/>
        <v>0</v>
      </c>
      <c r="K13" s="36"/>
    </row>
    <row r="14" s="1" customFormat="1" ht="16.5" spans="1:11">
      <c r="A14" s="28"/>
      <c r="B14" s="29"/>
      <c r="C14" s="29"/>
      <c r="D14" s="30"/>
      <c r="E14" s="29"/>
      <c r="F14" s="38"/>
      <c r="G14" s="32" t="s">
        <v>70</v>
      </c>
      <c r="H14" s="33">
        <f>20+5+5</f>
        <v>30</v>
      </c>
      <c r="I14" s="34">
        <v>0</v>
      </c>
      <c r="J14" s="35">
        <f t="shared" si="0"/>
        <v>0</v>
      </c>
      <c r="K14" s="36"/>
    </row>
    <row r="15" s="1" customFormat="1" ht="16.5" spans="1:11">
      <c r="A15" s="28"/>
      <c r="B15" s="29"/>
      <c r="C15" s="29"/>
      <c r="D15" s="30"/>
      <c r="E15" s="29"/>
      <c r="F15" s="39" t="s">
        <v>71</v>
      </c>
      <c r="G15" s="32" t="s">
        <v>72</v>
      </c>
      <c r="H15" s="34">
        <f>3500+2500+2500+26</f>
        <v>8526</v>
      </c>
      <c r="I15" s="34">
        <v>0.28</v>
      </c>
      <c r="J15" s="35">
        <f t="shared" si="0"/>
        <v>2387.28</v>
      </c>
      <c r="K15" s="36"/>
    </row>
    <row r="16" s="1" customFormat="1" ht="16.5" spans="1:11">
      <c r="A16" s="28"/>
      <c r="B16" s="29"/>
      <c r="C16" s="29"/>
      <c r="D16" s="30"/>
      <c r="E16" s="29"/>
      <c r="F16" s="39" t="s">
        <v>71</v>
      </c>
      <c r="G16" s="32" t="s">
        <v>73</v>
      </c>
      <c r="H16" s="34">
        <f>250+175</f>
        <v>425</v>
      </c>
      <c r="I16" s="34">
        <v>0.042</v>
      </c>
      <c r="J16" s="35">
        <f t="shared" si="0"/>
        <v>17.85</v>
      </c>
      <c r="K16" s="36"/>
    </row>
    <row r="17" s="1" customFormat="1" ht="16.5" spans="1:11">
      <c r="A17" s="28">
        <v>45701</v>
      </c>
      <c r="B17" s="29" t="s">
        <v>39</v>
      </c>
      <c r="C17" s="65" t="s">
        <v>74</v>
      </c>
      <c r="D17" s="66" t="s">
        <v>75</v>
      </c>
      <c r="E17" s="65" t="s">
        <v>76</v>
      </c>
      <c r="F17" s="67" t="s">
        <v>77</v>
      </c>
      <c r="G17" s="35" t="s">
        <v>68</v>
      </c>
      <c r="H17" s="68">
        <f>6077+4223</f>
        <v>10300</v>
      </c>
      <c r="I17" s="68">
        <v>1.07</v>
      </c>
      <c r="J17" s="68">
        <f t="shared" si="0"/>
        <v>11021</v>
      </c>
      <c r="K17" s="36"/>
    </row>
    <row r="18" s="1" customFormat="1" ht="16.5" spans="1:11">
      <c r="A18" s="28"/>
      <c r="B18" s="29"/>
      <c r="C18" s="69"/>
      <c r="D18" s="66"/>
      <c r="E18" s="65"/>
      <c r="F18" s="70"/>
      <c r="G18" s="35" t="s">
        <v>69</v>
      </c>
      <c r="H18" s="68">
        <f>10000*0.01</f>
        <v>100</v>
      </c>
      <c r="I18" s="68">
        <v>0</v>
      </c>
      <c r="J18" s="68">
        <v>0</v>
      </c>
      <c r="K18" s="36"/>
    </row>
    <row r="19" s="1" customFormat="1" ht="16.5" spans="1:11">
      <c r="A19" s="28"/>
      <c r="B19" s="29"/>
      <c r="C19" s="69"/>
      <c r="D19" s="66"/>
      <c r="E19" s="65"/>
      <c r="F19" s="70"/>
      <c r="G19" s="35" t="s">
        <v>72</v>
      </c>
      <c r="H19" s="34">
        <f>2200+1000</f>
        <v>3200</v>
      </c>
      <c r="I19" s="34">
        <v>0.28</v>
      </c>
      <c r="J19" s="34">
        <f t="shared" ref="J19:J24" si="1">H19*I19</f>
        <v>896</v>
      </c>
      <c r="K19" s="36"/>
    </row>
    <row r="20" s="1" customFormat="1" ht="16.5" spans="1:11">
      <c r="A20" s="28"/>
      <c r="B20" s="29"/>
      <c r="C20" s="69"/>
      <c r="D20" s="66"/>
      <c r="E20" s="65"/>
      <c r="F20" s="70"/>
      <c r="G20" s="34" t="s">
        <v>22</v>
      </c>
      <c r="H20" s="34">
        <v>10000</v>
      </c>
      <c r="I20" s="34">
        <v>0.11</v>
      </c>
      <c r="J20" s="34">
        <f t="shared" si="1"/>
        <v>1100</v>
      </c>
      <c r="K20" s="36"/>
    </row>
    <row r="21" s="1" customFormat="1" ht="16.5" spans="1:11">
      <c r="A21" s="28"/>
      <c r="B21" s="29"/>
      <c r="C21" s="69"/>
      <c r="D21" s="66"/>
      <c r="E21" s="65"/>
      <c r="F21" s="71"/>
      <c r="G21" s="34" t="s">
        <v>60</v>
      </c>
      <c r="H21" s="34">
        <f>3200</f>
        <v>3200</v>
      </c>
      <c r="I21" s="34">
        <f>0.042*5</f>
        <v>0.21</v>
      </c>
      <c r="J21" s="34">
        <f t="shared" si="1"/>
        <v>672</v>
      </c>
      <c r="K21" s="36"/>
    </row>
    <row r="22" s="1" customFormat="1" ht="16.5" spans="1:11">
      <c r="A22" s="28"/>
      <c r="B22" s="29"/>
      <c r="C22" s="69"/>
      <c r="D22" s="66"/>
      <c r="E22" s="65"/>
      <c r="F22" s="72" t="s">
        <v>78</v>
      </c>
      <c r="G22" s="35" t="s">
        <v>79</v>
      </c>
      <c r="H22" s="34">
        <v>1000</v>
      </c>
      <c r="I22" s="34">
        <v>0.24</v>
      </c>
      <c r="J22" s="34">
        <f t="shared" si="1"/>
        <v>240</v>
      </c>
      <c r="K22" s="36"/>
    </row>
    <row r="23" s="1" customFormat="1" ht="16.5" spans="1:11">
      <c r="A23" s="28">
        <v>45716</v>
      </c>
      <c r="B23" s="29" t="s">
        <v>39</v>
      </c>
      <c r="C23" s="29" t="s">
        <v>80</v>
      </c>
      <c r="D23" s="73" t="s">
        <v>81</v>
      </c>
      <c r="E23" s="29" t="s">
        <v>82</v>
      </c>
      <c r="F23" s="67" t="s">
        <v>83</v>
      </c>
      <c r="G23" s="35" t="s">
        <v>68</v>
      </c>
      <c r="H23" s="68">
        <v>3104</v>
      </c>
      <c r="I23" s="68">
        <v>1.07</v>
      </c>
      <c r="J23" s="68">
        <f t="shared" si="1"/>
        <v>3321.28</v>
      </c>
      <c r="K23"/>
    </row>
    <row r="24" ht="16.5" spans="1:11">
      <c r="A24" s="28"/>
      <c r="B24" s="29"/>
      <c r="C24" s="29"/>
      <c r="D24" s="73"/>
      <c r="E24" s="29"/>
      <c r="F24" s="70"/>
      <c r="G24" s="35" t="s">
        <v>69</v>
      </c>
      <c r="H24" s="68">
        <v>30</v>
      </c>
      <c r="I24" s="68">
        <v>0</v>
      </c>
      <c r="J24" s="68">
        <f t="shared" si="1"/>
        <v>0</v>
      </c>
    </row>
    <row r="25" ht="16.5" spans="1:11">
      <c r="A25" s="28"/>
      <c r="B25" s="29"/>
      <c r="C25" s="29"/>
      <c r="D25" s="73"/>
      <c r="E25" s="29"/>
      <c r="F25" s="70"/>
      <c r="G25" s="29" t="s">
        <v>70</v>
      </c>
      <c r="H25" s="68">
        <v>30</v>
      </c>
      <c r="I25" s="68">
        <v>0</v>
      </c>
      <c r="J25" s="68">
        <v>0</v>
      </c>
    </row>
    <row r="26" ht="16.5" spans="1:11">
      <c r="A26" s="28"/>
      <c r="B26" s="29"/>
      <c r="C26" s="29"/>
      <c r="D26" s="73"/>
      <c r="E26" s="29"/>
      <c r="F26" s="70"/>
      <c r="G26" s="35" t="s">
        <v>72</v>
      </c>
      <c r="H26" s="34">
        <v>1013</v>
      </c>
      <c r="I26" s="34">
        <v>0.28</v>
      </c>
      <c r="J26" s="68">
        <f>H26*I26</f>
        <v>283.64</v>
      </c>
    </row>
    <row r="27" ht="16.5" spans="1:11">
      <c r="A27" s="28"/>
      <c r="B27" s="29"/>
      <c r="C27" s="29"/>
      <c r="D27" s="73"/>
      <c r="E27" s="29"/>
      <c r="F27" s="70"/>
      <c r="G27" s="34" t="s">
        <v>22</v>
      </c>
      <c r="H27" s="68">
        <f>1500+13+1000+500</f>
        <v>3013</v>
      </c>
      <c r="I27" s="34">
        <v>0.11</v>
      </c>
      <c r="J27" s="68">
        <f>H27*I27</f>
        <v>331.43</v>
      </c>
    </row>
    <row r="28" ht="16.5" spans="1:11">
      <c r="A28" s="28"/>
      <c r="B28" s="29"/>
      <c r="C28" s="29"/>
      <c r="D28" s="73"/>
      <c r="E28" s="29"/>
      <c r="F28" s="70"/>
      <c r="G28" s="35" t="s">
        <v>79</v>
      </c>
      <c r="H28" s="34">
        <f>1500+500</f>
        <v>2000</v>
      </c>
      <c r="I28" s="34">
        <v>0.24</v>
      </c>
      <c r="J28" s="68">
        <f>H28*I28</f>
        <v>480</v>
      </c>
    </row>
    <row r="29" ht="16.5" spans="1:11">
      <c r="A29" s="28"/>
      <c r="B29" s="29"/>
      <c r="C29" s="29"/>
      <c r="D29" s="73"/>
      <c r="E29" s="29"/>
      <c r="F29" s="71"/>
      <c r="G29" s="34" t="s">
        <v>60</v>
      </c>
      <c r="H29" s="34">
        <f>3013</f>
        <v>3013</v>
      </c>
      <c r="I29" s="34">
        <f>0.042*5</f>
        <v>0.21</v>
      </c>
      <c r="J29" s="68">
        <f>H29*I29</f>
        <v>632.73</v>
      </c>
    </row>
    <row r="30" ht="16.5" spans="1:11">
      <c r="A30" s="28">
        <v>45724</v>
      </c>
      <c r="B30" s="29" t="s">
        <v>39</v>
      </c>
      <c r="C30" s="29" t="s">
        <v>43</v>
      </c>
      <c r="D30" s="73" t="s">
        <v>84</v>
      </c>
      <c r="E30" s="29" t="s">
        <v>85</v>
      </c>
      <c r="F30" s="67" t="s">
        <v>86</v>
      </c>
      <c r="G30" s="35" t="s">
        <v>87</v>
      </c>
      <c r="H30" s="74">
        <f>1402+2438+3049+2202+1210</f>
        <v>10301</v>
      </c>
      <c r="I30" s="68">
        <v>1.07</v>
      </c>
      <c r="J30" s="68">
        <f>H30*I30</f>
        <v>11022.07</v>
      </c>
    </row>
    <row r="31" ht="16.5" spans="1:11">
      <c r="A31" s="28"/>
      <c r="B31" s="29"/>
      <c r="C31" s="29"/>
      <c r="D31" s="73"/>
      <c r="E31" s="29"/>
      <c r="F31" s="70"/>
      <c r="G31" s="35" t="s">
        <v>69</v>
      </c>
      <c r="H31" s="74">
        <v>103</v>
      </c>
      <c r="I31" s="68">
        <v>0</v>
      </c>
      <c r="J31" s="68">
        <v>0</v>
      </c>
    </row>
    <row r="32" ht="16.5" spans="1:11">
      <c r="A32" s="28"/>
      <c r="B32" s="29"/>
      <c r="C32" s="29"/>
      <c r="D32" s="73"/>
      <c r="E32" s="29"/>
      <c r="F32" s="70"/>
      <c r="G32" s="35" t="s">
        <v>72</v>
      </c>
      <c r="H32" s="34">
        <f>589+1009+1220+883+505+773+1358+1740+1255+669</f>
        <v>10001</v>
      </c>
      <c r="I32" s="34">
        <v>0.28</v>
      </c>
      <c r="J32" s="34">
        <f>H32*I32</f>
        <v>2800.28</v>
      </c>
    </row>
    <row r="33" ht="16.5" spans="1:10">
      <c r="A33" s="28"/>
      <c r="B33" s="29"/>
      <c r="C33" s="29"/>
      <c r="D33" s="73"/>
      <c r="E33" s="29"/>
      <c r="F33" s="70"/>
      <c r="G33" s="34" t="s">
        <v>22</v>
      </c>
      <c r="H33" s="35">
        <f>1362+2367+2960+2138+1174</f>
        <v>10001</v>
      </c>
      <c r="I33" s="34">
        <v>0.11</v>
      </c>
      <c r="J33" s="34">
        <f>H33*I33</f>
        <v>1100.11</v>
      </c>
    </row>
    <row r="34" ht="16.5" spans="1:10">
      <c r="A34" s="28"/>
      <c r="B34" s="29"/>
      <c r="C34" s="29"/>
      <c r="D34" s="73"/>
      <c r="E34" s="29"/>
      <c r="F34" s="71"/>
      <c r="G34" s="34" t="s">
        <v>60</v>
      </c>
      <c r="H34" s="34">
        <f>10001</f>
        <v>10001</v>
      </c>
      <c r="I34" s="34">
        <f>0.042*5</f>
        <v>0.21</v>
      </c>
      <c r="J34" s="34">
        <f>H34*I34</f>
        <v>2100.21</v>
      </c>
    </row>
    <row r="35" ht="16.5" spans="1:10">
      <c r="A35" s="28">
        <v>45733</v>
      </c>
      <c r="B35" s="29" t="s">
        <v>39</v>
      </c>
      <c r="C35" s="29" t="s">
        <v>43</v>
      </c>
      <c r="D35" s="73" t="s">
        <v>88</v>
      </c>
      <c r="E35" s="29" t="s">
        <v>89</v>
      </c>
      <c r="F35" s="67" t="s">
        <v>83</v>
      </c>
      <c r="G35" s="35" t="s">
        <v>90</v>
      </c>
      <c r="H35" s="74">
        <f>1414+2424+2929+2121+1212</f>
        <v>10100</v>
      </c>
      <c r="I35" s="68">
        <v>1.07</v>
      </c>
      <c r="J35" s="68">
        <f>H35*I35</f>
        <v>10807</v>
      </c>
    </row>
    <row r="36" ht="16.5" spans="1:10">
      <c r="A36" s="28"/>
      <c r="B36" s="29"/>
      <c r="C36" s="29"/>
      <c r="D36" s="73"/>
      <c r="E36" s="29"/>
      <c r="F36" s="70"/>
      <c r="G36" s="35" t="s">
        <v>69</v>
      </c>
      <c r="H36" s="74">
        <f>10000*0.01</f>
        <v>100</v>
      </c>
      <c r="I36" s="68">
        <v>0</v>
      </c>
      <c r="J36" s="68">
        <v>0</v>
      </c>
    </row>
    <row r="37" ht="16.5" spans="1:10">
      <c r="A37" s="28"/>
      <c r="B37" s="29"/>
      <c r="C37" s="29"/>
      <c r="D37" s="73"/>
      <c r="E37" s="29"/>
      <c r="F37" s="70"/>
      <c r="G37" s="35" t="s">
        <v>91</v>
      </c>
      <c r="H37" s="74">
        <f>1442+2472+2987+2163+1236-10100</f>
        <v>200</v>
      </c>
      <c r="I37" s="68">
        <v>1.07</v>
      </c>
      <c r="J37" s="68">
        <f t="shared" ref="J37:J62" si="2">H37*I37</f>
        <v>214</v>
      </c>
    </row>
    <row r="38" ht="16.5" spans="1:10">
      <c r="A38" s="28"/>
      <c r="B38" s="29"/>
      <c r="C38" s="29"/>
      <c r="D38" s="73"/>
      <c r="E38" s="29"/>
      <c r="F38" s="70"/>
      <c r="G38" s="35" t="s">
        <v>72</v>
      </c>
      <c r="H38" s="35">
        <f>840+1440+1740+1260+720+560+960+1160+840+480</f>
        <v>10000</v>
      </c>
      <c r="I38" s="34">
        <v>0.28</v>
      </c>
      <c r="J38" s="34">
        <f t="shared" si="2"/>
        <v>2800</v>
      </c>
    </row>
    <row r="39" ht="16.5" spans="1:10">
      <c r="A39" s="28"/>
      <c r="B39" s="29"/>
      <c r="C39" s="29"/>
      <c r="D39" s="73"/>
      <c r="E39" s="29"/>
      <c r="F39" s="70"/>
      <c r="G39" s="34" t="s">
        <v>22</v>
      </c>
      <c r="H39" s="35">
        <f>1400+2400+2900+2100+1200</f>
        <v>10000</v>
      </c>
      <c r="I39" s="34">
        <v>0.11</v>
      </c>
      <c r="J39" s="34">
        <f t="shared" si="2"/>
        <v>1100</v>
      </c>
    </row>
    <row r="40" ht="16.5" spans="1:10">
      <c r="A40" s="28"/>
      <c r="B40" s="29"/>
      <c r="C40" s="29"/>
      <c r="D40" s="73"/>
      <c r="E40" s="29"/>
      <c r="F40" s="71"/>
      <c r="G40" s="34" t="s">
        <v>60</v>
      </c>
      <c r="H40" s="34">
        <f>10000</f>
        <v>10000</v>
      </c>
      <c r="I40" s="34">
        <f>0.042*5</f>
        <v>0.21</v>
      </c>
      <c r="J40" s="34">
        <f t="shared" si="2"/>
        <v>2100</v>
      </c>
    </row>
    <row r="41" ht="16.5" spans="1:10">
      <c r="A41" s="28">
        <v>45734</v>
      </c>
      <c r="B41" s="29" t="s">
        <v>39</v>
      </c>
      <c r="C41" s="29" t="s">
        <v>92</v>
      </c>
      <c r="D41" s="73" t="s">
        <v>93</v>
      </c>
      <c r="E41" s="29" t="s">
        <v>94</v>
      </c>
      <c r="F41" s="67" t="s">
        <v>83</v>
      </c>
      <c r="G41" s="35" t="s">
        <v>68</v>
      </c>
      <c r="H41" s="75">
        <v>9283</v>
      </c>
      <c r="I41" s="68">
        <v>1.07</v>
      </c>
      <c r="J41" s="68">
        <f t="shared" si="2"/>
        <v>9932.81</v>
      </c>
    </row>
    <row r="42" ht="16.5" spans="1:10">
      <c r="A42" s="28"/>
      <c r="B42" s="29"/>
      <c r="C42" s="29"/>
      <c r="D42" s="73"/>
      <c r="E42" s="29"/>
      <c r="F42" s="70"/>
      <c r="G42" s="35" t="s">
        <v>69</v>
      </c>
      <c r="H42" s="74">
        <v>90</v>
      </c>
      <c r="I42" s="68">
        <v>0</v>
      </c>
      <c r="J42" s="68">
        <f t="shared" si="2"/>
        <v>0</v>
      </c>
    </row>
    <row r="43" ht="16.5" spans="1:10">
      <c r="A43" s="28"/>
      <c r="B43" s="29"/>
      <c r="C43" s="29"/>
      <c r="D43" s="73"/>
      <c r="E43" s="29"/>
      <c r="F43" s="70"/>
      <c r="G43" s="29" t="s">
        <v>95</v>
      </c>
      <c r="H43" s="74">
        <f>4*5+5</f>
        <v>25</v>
      </c>
      <c r="I43" s="68">
        <v>0</v>
      </c>
      <c r="J43" s="68">
        <f t="shared" si="2"/>
        <v>0</v>
      </c>
    </row>
    <row r="44" ht="16.5" spans="1:10">
      <c r="A44" s="28"/>
      <c r="B44" s="29"/>
      <c r="C44" s="29"/>
      <c r="D44" s="73"/>
      <c r="E44" s="29"/>
      <c r="F44" s="70"/>
      <c r="G44" s="35" t="s">
        <v>72</v>
      </c>
      <c r="H44" s="74">
        <f>3000+3000+3000+13</f>
        <v>9013</v>
      </c>
      <c r="I44" s="34">
        <v>0.28</v>
      </c>
      <c r="J44" s="68">
        <f t="shared" si="2"/>
        <v>2523.64</v>
      </c>
    </row>
    <row r="45" ht="16.5" spans="1:10">
      <c r="A45" s="28"/>
      <c r="B45" s="29"/>
      <c r="C45" s="29"/>
      <c r="D45" s="73"/>
      <c r="E45" s="29"/>
      <c r="F45" s="70"/>
      <c r="G45" s="34" t="s">
        <v>22</v>
      </c>
      <c r="H45" s="74">
        <f>3000+3000+3000+13</f>
        <v>9013</v>
      </c>
      <c r="I45" s="34">
        <v>0.11</v>
      </c>
      <c r="J45" s="68">
        <f t="shared" si="2"/>
        <v>991.43</v>
      </c>
    </row>
    <row r="46" ht="16.5" spans="1:10">
      <c r="A46" s="28"/>
      <c r="B46" s="29"/>
      <c r="C46" s="29"/>
      <c r="D46" s="73"/>
      <c r="E46" s="29"/>
      <c r="F46" s="71"/>
      <c r="G46" s="34" t="s">
        <v>60</v>
      </c>
      <c r="H46" s="34">
        <f>9013</f>
        <v>9013</v>
      </c>
      <c r="I46" s="34">
        <f>0.042*5</f>
        <v>0.21</v>
      </c>
      <c r="J46" s="34">
        <f t="shared" si="2"/>
        <v>1892.73</v>
      </c>
    </row>
    <row r="47" ht="16.5" spans="1:10">
      <c r="A47" s="28">
        <v>45738</v>
      </c>
      <c r="B47" s="29" t="s">
        <v>39</v>
      </c>
      <c r="C47" s="29" t="s">
        <v>96</v>
      </c>
      <c r="D47" s="73" t="s">
        <v>97</v>
      </c>
      <c r="E47" s="29" t="s">
        <v>98</v>
      </c>
      <c r="F47" s="67" t="s">
        <v>83</v>
      </c>
      <c r="G47" s="35" t="s">
        <v>68</v>
      </c>
      <c r="H47" s="68">
        <f>999+2338+4573+3203+1246</f>
        <v>12359</v>
      </c>
      <c r="I47" s="68">
        <v>1.07</v>
      </c>
      <c r="J47" s="68">
        <f t="shared" si="2"/>
        <v>13224.13</v>
      </c>
    </row>
    <row r="48" ht="16.5" spans="1:10">
      <c r="A48" s="28"/>
      <c r="B48" s="29"/>
      <c r="C48" s="29"/>
      <c r="D48" s="73"/>
      <c r="E48" s="29"/>
      <c r="F48" s="70"/>
      <c r="G48" s="35" t="s">
        <v>69</v>
      </c>
      <c r="H48" s="68">
        <f>12000*0.01</f>
        <v>120</v>
      </c>
      <c r="I48" s="68">
        <v>0</v>
      </c>
      <c r="J48" s="68">
        <f t="shared" si="2"/>
        <v>0</v>
      </c>
    </row>
    <row r="49" ht="16.5" spans="1:10">
      <c r="A49" s="28"/>
      <c r="B49" s="29"/>
      <c r="C49" s="29"/>
      <c r="D49" s="73"/>
      <c r="E49" s="29"/>
      <c r="F49" s="70"/>
      <c r="G49" s="35" t="s">
        <v>72</v>
      </c>
      <c r="H49" s="34">
        <v>2900</v>
      </c>
      <c r="I49" s="34">
        <v>0.28</v>
      </c>
      <c r="J49" s="68">
        <f t="shared" si="2"/>
        <v>812</v>
      </c>
    </row>
    <row r="50" ht="16.5" spans="1:10">
      <c r="A50" s="28"/>
      <c r="B50" s="29"/>
      <c r="C50" s="29"/>
      <c r="D50" s="73"/>
      <c r="E50" s="29"/>
      <c r="F50" s="70"/>
      <c r="G50" s="34" t="s">
        <v>22</v>
      </c>
      <c r="H50" s="34">
        <f>2900+2000</f>
        <v>4900</v>
      </c>
      <c r="I50" s="34">
        <v>0.11</v>
      </c>
      <c r="J50" s="68">
        <f t="shared" si="2"/>
        <v>539</v>
      </c>
    </row>
    <row r="51" ht="16.5" spans="1:10">
      <c r="A51" s="28"/>
      <c r="B51" s="29"/>
      <c r="C51" s="29"/>
      <c r="D51" s="73"/>
      <c r="E51" s="29"/>
      <c r="F51" s="70"/>
      <c r="G51" s="35" t="s">
        <v>79</v>
      </c>
      <c r="H51" s="34">
        <v>2000</v>
      </c>
      <c r="I51" s="34">
        <v>0.24</v>
      </c>
      <c r="J51" s="68">
        <f t="shared" si="2"/>
        <v>480</v>
      </c>
    </row>
    <row r="52" ht="16.5" spans="1:10">
      <c r="A52" s="28"/>
      <c r="B52" s="29"/>
      <c r="C52" s="29"/>
      <c r="D52" s="73"/>
      <c r="E52" s="29"/>
      <c r="F52" s="71"/>
      <c r="G52" s="34" t="s">
        <v>60</v>
      </c>
      <c r="H52" s="34">
        <f>12000</f>
        <v>12000</v>
      </c>
      <c r="I52" s="34">
        <f>0.042*5</f>
        <v>0.21</v>
      </c>
      <c r="J52" s="34">
        <f t="shared" si="2"/>
        <v>2520</v>
      </c>
    </row>
    <row r="53" ht="16.5" spans="1:10">
      <c r="A53" s="28">
        <v>45748</v>
      </c>
      <c r="B53" s="29" t="s">
        <v>39</v>
      </c>
      <c r="C53" s="29" t="s">
        <v>99</v>
      </c>
      <c r="D53" s="73" t="s">
        <v>100</v>
      </c>
      <c r="E53" s="29" t="s">
        <v>101</v>
      </c>
      <c r="F53" s="72" t="s">
        <v>102</v>
      </c>
      <c r="G53" s="35" t="s">
        <v>103</v>
      </c>
      <c r="H53" s="34">
        <f>8200+13+2400</f>
        <v>10613</v>
      </c>
      <c r="I53" s="34">
        <v>0.85</v>
      </c>
      <c r="J53" s="34">
        <f t="shared" si="2"/>
        <v>9021.05</v>
      </c>
    </row>
    <row r="54" ht="16.5" spans="1:10">
      <c r="A54" s="28"/>
      <c r="B54" s="29"/>
      <c r="C54" s="29"/>
      <c r="D54" s="73"/>
      <c r="E54" s="29"/>
      <c r="F54" s="72"/>
      <c r="G54" s="35" t="s">
        <v>104</v>
      </c>
      <c r="H54" s="34">
        <v>106</v>
      </c>
      <c r="I54" s="34">
        <v>0</v>
      </c>
      <c r="J54" s="34">
        <f t="shared" si="2"/>
        <v>0</v>
      </c>
    </row>
    <row r="55" ht="16.5" spans="1:10">
      <c r="A55" s="28"/>
      <c r="B55" s="29"/>
      <c r="C55" s="29"/>
      <c r="D55" s="73"/>
      <c r="E55" s="29"/>
      <c r="F55" s="72"/>
      <c r="G55" s="35" t="s">
        <v>105</v>
      </c>
      <c r="H55" s="34">
        <f>5*5+5</f>
        <v>30</v>
      </c>
      <c r="I55" s="34">
        <v>0</v>
      </c>
      <c r="J55" s="34">
        <f t="shared" si="2"/>
        <v>0</v>
      </c>
    </row>
    <row r="56" ht="16.5" spans="1:10">
      <c r="A56" s="28"/>
      <c r="B56" s="29"/>
      <c r="C56" s="29"/>
      <c r="D56" s="73"/>
      <c r="E56" s="29"/>
      <c r="F56" s="72"/>
      <c r="G56" s="35" t="s">
        <v>72</v>
      </c>
      <c r="H56" s="34">
        <f>8200+13+2400</f>
        <v>10613</v>
      </c>
      <c r="I56" s="34">
        <v>0.28</v>
      </c>
      <c r="J56" s="34">
        <f t="shared" si="2"/>
        <v>2971.64</v>
      </c>
    </row>
    <row r="57" ht="16.5" spans="1:10">
      <c r="A57" s="28"/>
      <c r="B57" s="29"/>
      <c r="C57" s="29"/>
      <c r="D57" s="73"/>
      <c r="E57" s="29"/>
      <c r="F57" s="72"/>
      <c r="G57" s="34" t="s">
        <v>22</v>
      </c>
      <c r="H57" s="34">
        <f>8200+13+2400</f>
        <v>10613</v>
      </c>
      <c r="I57" s="34">
        <v>0.11</v>
      </c>
      <c r="J57" s="34">
        <f t="shared" si="2"/>
        <v>1167.43</v>
      </c>
    </row>
    <row r="58" ht="16.5" spans="1:10">
      <c r="A58" s="28"/>
      <c r="B58" s="29"/>
      <c r="C58" s="29"/>
      <c r="D58" s="73"/>
      <c r="E58" s="29"/>
      <c r="F58" s="72"/>
      <c r="G58" s="34" t="s">
        <v>106</v>
      </c>
      <c r="H58" s="34">
        <f>10613</f>
        <v>10613</v>
      </c>
      <c r="I58" s="34">
        <f>0.042*4</f>
        <v>0.168</v>
      </c>
      <c r="J58" s="34">
        <f t="shared" si="2"/>
        <v>1782.984</v>
      </c>
    </row>
    <row r="59" ht="16.5" spans="1:10">
      <c r="A59" s="28"/>
      <c r="B59" s="29"/>
      <c r="C59" s="29"/>
      <c r="D59" s="73"/>
      <c r="E59" s="29"/>
      <c r="F59" s="72"/>
      <c r="G59" s="34" t="s">
        <v>107</v>
      </c>
      <c r="H59" s="34">
        <v>10613</v>
      </c>
      <c r="I59" s="34">
        <v>0.027</v>
      </c>
      <c r="J59" s="34">
        <f t="shared" si="2"/>
        <v>286.551</v>
      </c>
    </row>
    <row r="60" ht="16.5" spans="1:10">
      <c r="A60" s="28"/>
      <c r="B60" s="29"/>
      <c r="C60" s="29"/>
      <c r="D60" s="73"/>
      <c r="E60" s="29"/>
      <c r="F60" s="72"/>
      <c r="G60" s="68" t="s">
        <v>108</v>
      </c>
      <c r="H60" s="34">
        <f>170+255+175</f>
        <v>600</v>
      </c>
      <c r="I60" s="34">
        <v>0.24</v>
      </c>
      <c r="J60" s="34">
        <f t="shared" si="2"/>
        <v>144</v>
      </c>
    </row>
    <row r="61" ht="16.5" spans="1:10">
      <c r="A61" s="28"/>
      <c r="B61" s="29"/>
      <c r="C61" s="29"/>
      <c r="D61" s="73"/>
      <c r="E61" s="29"/>
      <c r="F61" s="72" t="s">
        <v>109</v>
      </c>
      <c r="G61" s="68" t="s">
        <v>110</v>
      </c>
      <c r="H61" s="34">
        <v>7300</v>
      </c>
      <c r="I61" s="34">
        <v>0.33</v>
      </c>
      <c r="J61" s="34">
        <f t="shared" si="2"/>
        <v>2409</v>
      </c>
    </row>
    <row r="62" ht="16.5" spans="1:10">
      <c r="A62" s="28"/>
      <c r="B62" s="29"/>
      <c r="C62" s="29"/>
      <c r="D62" s="73"/>
      <c r="E62" s="29"/>
      <c r="F62" s="72"/>
      <c r="G62" s="34" t="s">
        <v>111</v>
      </c>
      <c r="H62" s="34">
        <v>500</v>
      </c>
      <c r="I62" s="34">
        <v>0.65</v>
      </c>
      <c r="J62" s="34">
        <f t="shared" si="2"/>
        <v>325</v>
      </c>
    </row>
    <row r="63" ht="16.5" spans="1:10">
      <c r="J63" s="78">
        <f>SUM(J3:J62)</f>
        <v>130478.715</v>
      </c>
    </row>
  </sheetData>
  <autoFilter xmlns:etc="http://www.wps.cn/officeDocument/2017/etCustomData" ref="A1:J63" etc:filterBottomFollowUsedRange="0">
    <extLst/>
  </autoFilter>
  <mergeCells count="62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62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62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62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62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62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60"/>
    <mergeCell ref="F61:F6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D22" sqref="D22"/>
    </sheetView>
  </sheetViews>
  <sheetFormatPr defaultColWidth="8.72727272727273" defaultRowHeight="14" outlineLevelRow="3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112</v>
      </c>
    </row>
    <row r="3" ht="33" spans="1:10">
      <c r="A3" s="28">
        <v>45761</v>
      </c>
      <c r="B3" s="29" t="s">
        <v>39</v>
      </c>
      <c r="C3" s="29">
        <v>76382</v>
      </c>
      <c r="D3" s="73" t="s">
        <v>113</v>
      </c>
      <c r="E3" s="29" t="s">
        <v>114</v>
      </c>
      <c r="F3" s="72" t="s">
        <v>115</v>
      </c>
      <c r="G3" s="34" t="s">
        <v>116</v>
      </c>
      <c r="H3" s="34">
        <v>201</v>
      </c>
      <c r="I3" s="34">
        <v>0.007</v>
      </c>
      <c r="J3" s="34">
        <f>H3*I3</f>
        <v>1.407</v>
      </c>
    </row>
    <row r="4" ht="16.5" spans="1:10">
      <c r="J4" s="78">
        <f>SUM(J3:J3)</f>
        <v>1.407</v>
      </c>
    </row>
  </sheetData>
  <autoFilter xmlns:etc="http://www.wps.cn/officeDocument/2017/etCustomData" ref="A1:J4" etc:filterBottomFollowUsedRange="0">
    <extLst/>
  </autoFilter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topLeftCell="A13" workbookViewId="0">
      <selection activeCell="G32" sqref="G3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61.8818181818182" customWidth="1"/>
    <col min="8" max="8" width="9.45454545454546" customWidth="1"/>
    <col min="9" max="9" width="12.3636363636364" customWidth="1"/>
    <col min="10" max="10" width="15.1818181818182" customWidth="1"/>
    <col min="11" max="11" width="20.8181818181818" hidden="1" customWidth="1"/>
    <col min="12" max="12" width="11.8181818181818" customWidth="1"/>
    <col min="13" max="13" width="9.54545454545454"/>
    <col min="16" max="16" width="9.54545454545454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49.5" spans="1:10">
      <c r="A3" s="28">
        <v>45938</v>
      </c>
      <c r="B3" s="29" t="s">
        <v>117</v>
      </c>
      <c r="C3" s="65" t="s">
        <v>118</v>
      </c>
      <c r="D3" s="73" t="s">
        <v>119</v>
      </c>
      <c r="E3" s="29" t="s">
        <v>120</v>
      </c>
      <c r="F3" s="28" t="s">
        <v>121</v>
      </c>
      <c r="G3" s="34" t="s">
        <v>122</v>
      </c>
      <c r="H3" s="35">
        <v>6300</v>
      </c>
      <c r="I3" s="34">
        <v>0.16</v>
      </c>
      <c r="J3" s="81">
        <f>H3*I3</f>
        <v>1008</v>
      </c>
    </row>
    <row r="4" s="1" customFormat="1" ht="16.5" spans="1:10">
      <c r="A4" s="79">
        <v>45966</v>
      </c>
      <c r="B4" s="65" t="s">
        <v>117</v>
      </c>
      <c r="C4" s="65">
        <v>42207</v>
      </c>
      <c r="D4" s="66" t="s">
        <v>123</v>
      </c>
      <c r="E4" s="65" t="s">
        <v>124</v>
      </c>
      <c r="F4" s="79" t="s">
        <v>125</v>
      </c>
      <c r="G4" s="35" t="s">
        <v>126</v>
      </c>
      <c r="H4" s="35">
        <v>3800</v>
      </c>
      <c r="I4" s="35">
        <v>1.07</v>
      </c>
      <c r="J4" s="34">
        <f t="shared" ref="J4:J23" si="0">H4*I4</f>
        <v>4066</v>
      </c>
    </row>
    <row r="5" s="1" customFormat="1" ht="16.5" spans="1:10">
      <c r="A5" s="79"/>
      <c r="B5" s="65"/>
      <c r="C5" s="65"/>
      <c r="D5" s="66"/>
      <c r="E5" s="65"/>
      <c r="F5" s="79"/>
      <c r="G5" s="35" t="s">
        <v>127</v>
      </c>
      <c r="H5" s="35">
        <v>40</v>
      </c>
      <c r="I5" s="35">
        <v>0</v>
      </c>
      <c r="J5" s="34">
        <f t="shared" si="0"/>
        <v>0</v>
      </c>
    </row>
    <row r="6" s="1" customFormat="1" ht="16.5" spans="1:10">
      <c r="A6" s="79"/>
      <c r="B6" s="65"/>
      <c r="C6" s="65"/>
      <c r="D6" s="66"/>
      <c r="E6" s="65"/>
      <c r="F6" s="79"/>
      <c r="G6" s="35" t="s">
        <v>128</v>
      </c>
      <c r="H6" s="35">
        <f>5*5+10</f>
        <v>35</v>
      </c>
      <c r="I6" s="35">
        <v>0</v>
      </c>
      <c r="J6" s="34">
        <f t="shared" si="0"/>
        <v>0</v>
      </c>
    </row>
    <row r="7" s="1" customFormat="1" ht="16.5" spans="1:10">
      <c r="A7" s="79"/>
      <c r="B7" s="65"/>
      <c r="C7" s="65"/>
      <c r="D7" s="66"/>
      <c r="E7" s="65"/>
      <c r="F7" s="79" t="s">
        <v>129</v>
      </c>
      <c r="G7" s="35" t="s">
        <v>60</v>
      </c>
      <c r="H7" s="35">
        <f>3800*5</f>
        <v>19000</v>
      </c>
      <c r="I7" s="35">
        <v>0.042</v>
      </c>
      <c r="J7" s="34">
        <f t="shared" si="0"/>
        <v>798</v>
      </c>
    </row>
    <row r="8" s="1" customFormat="1" ht="16.5" spans="1:10">
      <c r="A8" s="79"/>
      <c r="B8" s="65"/>
      <c r="C8" s="65"/>
      <c r="D8" s="66"/>
      <c r="E8" s="65"/>
      <c r="F8" s="79" t="s">
        <v>130</v>
      </c>
      <c r="G8" s="35" t="s">
        <v>72</v>
      </c>
      <c r="H8" s="35">
        <v>3800</v>
      </c>
      <c r="I8" s="35">
        <v>0.24</v>
      </c>
      <c r="J8" s="34">
        <f t="shared" si="0"/>
        <v>912</v>
      </c>
    </row>
    <row r="9" s="1" customFormat="1" ht="16.5" spans="1:10">
      <c r="A9" s="79"/>
      <c r="B9" s="65"/>
      <c r="C9" s="65"/>
      <c r="D9" s="66"/>
      <c r="E9" s="65"/>
      <c r="F9" s="79"/>
      <c r="G9" s="35" t="s">
        <v>131</v>
      </c>
      <c r="H9" s="35">
        <v>3800</v>
      </c>
      <c r="I9" s="35">
        <v>0.11</v>
      </c>
      <c r="J9" s="34">
        <f t="shared" si="0"/>
        <v>418</v>
      </c>
    </row>
    <row r="10" s="1" customFormat="1" ht="16.5" spans="1:10">
      <c r="A10" s="79">
        <v>45966</v>
      </c>
      <c r="B10" s="65" t="s">
        <v>117</v>
      </c>
      <c r="C10" s="65">
        <v>42194</v>
      </c>
      <c r="D10" s="66" t="s">
        <v>132</v>
      </c>
      <c r="E10" s="65" t="s">
        <v>133</v>
      </c>
      <c r="F10" s="79" t="s">
        <v>125</v>
      </c>
      <c r="G10" s="35" t="s">
        <v>134</v>
      </c>
      <c r="H10" s="35">
        <v>3900</v>
      </c>
      <c r="I10" s="35">
        <v>0.85</v>
      </c>
      <c r="J10" s="34">
        <f t="shared" si="0"/>
        <v>3315</v>
      </c>
    </row>
    <row r="11" s="1" customFormat="1" ht="16.5" spans="1:10">
      <c r="A11" s="79"/>
      <c r="B11" s="65"/>
      <c r="C11" s="65"/>
      <c r="D11" s="66"/>
      <c r="E11" s="65"/>
      <c r="F11" s="79"/>
      <c r="G11" s="35" t="s">
        <v>135</v>
      </c>
      <c r="H11" s="35">
        <v>39</v>
      </c>
      <c r="I11" s="35">
        <v>0</v>
      </c>
      <c r="J11" s="34">
        <f t="shared" si="0"/>
        <v>0</v>
      </c>
    </row>
    <row r="12" s="1" customFormat="1" ht="16.5" spans="1:10">
      <c r="A12" s="79"/>
      <c r="B12" s="65"/>
      <c r="C12" s="65"/>
      <c r="D12" s="66"/>
      <c r="E12" s="65"/>
      <c r="F12" s="79"/>
      <c r="G12" s="35" t="s">
        <v>136</v>
      </c>
      <c r="H12" s="35">
        <f>5*5+10</f>
        <v>35</v>
      </c>
      <c r="I12" s="35">
        <v>0</v>
      </c>
      <c r="J12" s="34">
        <f t="shared" si="0"/>
        <v>0</v>
      </c>
    </row>
    <row r="13" s="1" customFormat="1" ht="16.5" spans="1:10">
      <c r="A13" s="79"/>
      <c r="B13" s="65"/>
      <c r="C13" s="65"/>
      <c r="D13" s="66"/>
      <c r="E13" s="65"/>
      <c r="F13" s="79"/>
      <c r="G13" s="35" t="s">
        <v>137</v>
      </c>
      <c r="H13" s="35">
        <v>3900</v>
      </c>
      <c r="I13" s="35">
        <v>0.15</v>
      </c>
      <c r="J13" s="34">
        <f t="shared" si="0"/>
        <v>585</v>
      </c>
    </row>
    <row r="14" s="1" customFormat="1" ht="16.5" spans="1:10">
      <c r="A14" s="79"/>
      <c r="B14" s="65"/>
      <c r="C14" s="65"/>
      <c r="D14" s="66"/>
      <c r="E14" s="65"/>
      <c r="F14" s="79" t="s">
        <v>129</v>
      </c>
      <c r="G14" s="35" t="s">
        <v>60</v>
      </c>
      <c r="H14" s="35">
        <f>3900*5</f>
        <v>19500</v>
      </c>
      <c r="I14" s="35">
        <v>0.042</v>
      </c>
      <c r="J14" s="34">
        <f t="shared" si="0"/>
        <v>819</v>
      </c>
    </row>
    <row r="15" s="1" customFormat="1" ht="16.5" spans="1:10">
      <c r="A15" s="79"/>
      <c r="B15" s="65"/>
      <c r="C15" s="65"/>
      <c r="D15" s="66"/>
      <c r="E15" s="65"/>
      <c r="F15" s="79" t="s">
        <v>130</v>
      </c>
      <c r="G15" s="35" t="s">
        <v>72</v>
      </c>
      <c r="H15" s="35">
        <v>3900</v>
      </c>
      <c r="I15" s="35">
        <v>0.24</v>
      </c>
      <c r="J15" s="34">
        <f t="shared" si="0"/>
        <v>936</v>
      </c>
    </row>
    <row r="16" s="1" customFormat="1" ht="16.5" spans="1:10">
      <c r="A16" s="79"/>
      <c r="B16" s="65"/>
      <c r="C16" s="65"/>
      <c r="D16" s="66"/>
      <c r="E16" s="65"/>
      <c r="F16" s="79"/>
      <c r="G16" s="35" t="s">
        <v>131</v>
      </c>
      <c r="H16" s="35">
        <v>3900</v>
      </c>
      <c r="I16" s="35">
        <v>0.11</v>
      </c>
      <c r="J16" s="34">
        <f t="shared" si="0"/>
        <v>429</v>
      </c>
    </row>
    <row r="17" s="1" customFormat="1" ht="16.5" spans="1:12">
      <c r="A17" s="79">
        <v>45967</v>
      </c>
      <c r="B17" s="65" t="s">
        <v>117</v>
      </c>
      <c r="C17" s="65" t="s">
        <v>138</v>
      </c>
      <c r="D17" s="66" t="s">
        <v>139</v>
      </c>
      <c r="E17" s="65" t="s">
        <v>140</v>
      </c>
      <c r="F17" s="79" t="s">
        <v>141</v>
      </c>
      <c r="G17" s="35" t="s">
        <v>126</v>
      </c>
      <c r="H17" s="35">
        <f>5000+13</f>
        <v>5013</v>
      </c>
      <c r="I17" s="35">
        <v>1.07</v>
      </c>
      <c r="J17" s="34">
        <f t="shared" si="0"/>
        <v>5363.91</v>
      </c>
    </row>
    <row r="18" s="1" customFormat="1" ht="16.5" spans="1:12">
      <c r="A18" s="79"/>
      <c r="B18" s="65"/>
      <c r="C18" s="65"/>
      <c r="D18" s="66"/>
      <c r="E18" s="65"/>
      <c r="F18" s="79"/>
      <c r="G18" s="35" t="s">
        <v>127</v>
      </c>
      <c r="H18" s="35">
        <v>50</v>
      </c>
      <c r="I18" s="35">
        <v>0</v>
      </c>
      <c r="J18" s="34">
        <f t="shared" si="0"/>
        <v>0</v>
      </c>
    </row>
    <row r="19" s="1" customFormat="1" ht="16.5" spans="1:12">
      <c r="A19" s="79"/>
      <c r="B19" s="65"/>
      <c r="C19" s="65"/>
      <c r="D19" s="66"/>
      <c r="E19" s="65"/>
      <c r="F19" s="79"/>
      <c r="G19" s="35" t="s">
        <v>128</v>
      </c>
      <c r="H19" s="35">
        <f>5*5+10</f>
        <v>35</v>
      </c>
      <c r="I19" s="35">
        <v>0</v>
      </c>
      <c r="J19" s="34">
        <f t="shared" si="0"/>
        <v>0</v>
      </c>
    </row>
    <row r="20" s="1" customFormat="1" ht="16.5" spans="1:12">
      <c r="A20" s="79"/>
      <c r="B20" s="65"/>
      <c r="C20" s="65"/>
      <c r="D20" s="66"/>
      <c r="E20" s="65"/>
      <c r="F20" s="79" t="s">
        <v>142</v>
      </c>
      <c r="G20" s="35" t="s">
        <v>143</v>
      </c>
      <c r="H20" s="35">
        <v>5013</v>
      </c>
      <c r="I20" s="35">
        <v>0.35</v>
      </c>
      <c r="J20" s="34">
        <f t="shared" si="0"/>
        <v>1754.55</v>
      </c>
    </row>
    <row r="21" s="1" customFormat="1" ht="16.5" spans="1:12">
      <c r="A21" s="79"/>
      <c r="B21" s="65"/>
      <c r="C21" s="65"/>
      <c r="D21" s="66"/>
      <c r="E21" s="65"/>
      <c r="F21" s="79" t="s">
        <v>141</v>
      </c>
      <c r="G21" s="35" t="s">
        <v>131</v>
      </c>
      <c r="H21" s="35">
        <v>5013</v>
      </c>
      <c r="I21" s="35">
        <v>0.11</v>
      </c>
      <c r="J21" s="34">
        <f t="shared" si="0"/>
        <v>551.43</v>
      </c>
    </row>
    <row r="22" ht="16.5" spans="1:12">
      <c r="A22" s="85"/>
      <c r="B22" s="85"/>
      <c r="C22" s="86"/>
      <c r="D22" s="87"/>
      <c r="E22" s="85"/>
      <c r="F22" s="85"/>
      <c r="G22" s="88"/>
      <c r="H22" s="89"/>
      <c r="I22" s="88"/>
      <c r="J22" s="90">
        <f>SUM(J3:J21)</f>
        <v>20955.89</v>
      </c>
    </row>
    <row r="23" ht="16.5" spans="1:12">
      <c r="C23"/>
      <c r="F23"/>
      <c r="I23" s="91" t="s">
        <v>144</v>
      </c>
      <c r="J23" s="92">
        <f>114267.85-111627.85</f>
        <v>2640</v>
      </c>
      <c r="K23" t="s">
        <v>145</v>
      </c>
    </row>
    <row r="24" ht="16.5" spans="1:12">
      <c r="C24"/>
      <c r="F24"/>
      <c r="I24" s="91" t="s">
        <v>146</v>
      </c>
      <c r="J24" s="92">
        <f>71875.34-69598.66-3936.52</f>
        <v>-1659.84000000001</v>
      </c>
      <c r="K24" t="s">
        <v>147</v>
      </c>
      <c r="L24" s="93"/>
    </row>
    <row r="25" ht="16.5" spans="1:12">
      <c r="C25"/>
      <c r="F25"/>
      <c r="I25" s="91" t="s">
        <v>148</v>
      </c>
      <c r="J25" s="84">
        <f>29918.594-33735.63</f>
        <v>-3817.036</v>
      </c>
    </row>
    <row r="26" ht="16.5" spans="1:12">
      <c r="C26"/>
      <c r="F26"/>
      <c r="I26" s="91" t="s">
        <v>149</v>
      </c>
      <c r="J26" s="84">
        <f>48270.88-49170.68</f>
        <v>-899.800000000003</v>
      </c>
    </row>
    <row r="27" ht="16.5" spans="1:12">
      <c r="C27"/>
      <c r="F27"/>
      <c r="I27" s="91" t="s">
        <v>150</v>
      </c>
      <c r="J27" s="92">
        <f>115139.4-116739.4</f>
        <v>-1600</v>
      </c>
    </row>
    <row r="28" ht="16.5" spans="1:12">
      <c r="C28"/>
      <c r="F28"/>
      <c r="I28" s="91" t="s">
        <v>151</v>
      </c>
      <c r="J28" s="92">
        <f>8909.819-8953.819</f>
        <v>-44</v>
      </c>
    </row>
    <row r="29" ht="16.5" spans="1:12">
      <c r="C29"/>
      <c r="F29"/>
      <c r="I29" s="91" t="s">
        <v>152</v>
      </c>
      <c r="J29" s="84">
        <f>J22+J23+J24+J25+J26+J27+J28</f>
        <v>15575.214</v>
      </c>
    </row>
    <row r="30" spans="1:12">
      <c r="C30"/>
      <c r="F30"/>
    </row>
    <row r="31" spans="1:12">
      <c r="C31"/>
      <c r="F31"/>
    </row>
    <row r="32" spans="1:12">
      <c r="C32"/>
      <c r="F32"/>
    </row>
    <row r="33" spans="1:12">
      <c r="C33"/>
      <c r="F33"/>
    </row>
    <row r="34" ht="16.5" spans="1:12">
      <c r="A34" s="28">
        <v>45938</v>
      </c>
      <c r="B34" s="29" t="s">
        <v>117</v>
      </c>
      <c r="C34" s="65" t="s">
        <v>118</v>
      </c>
      <c r="D34" s="73" t="s">
        <v>119</v>
      </c>
      <c r="E34" s="29" t="s">
        <v>120</v>
      </c>
      <c r="F34" s="28">
        <v>45951</v>
      </c>
      <c r="G34" s="35" t="s">
        <v>153</v>
      </c>
      <c r="H34" s="35">
        <f>16000+4200+3800</f>
        <v>24000</v>
      </c>
      <c r="I34" s="34">
        <v>0.85</v>
      </c>
      <c r="J34" s="94">
        <f t="shared" ref="J34:J40" si="1">H34*I34</f>
        <v>20400</v>
      </c>
      <c r="L34" s="95" t="s">
        <v>154</v>
      </c>
    </row>
    <row r="35" s="1" customFormat="1" ht="16.5" spans="1:12">
      <c r="A35" s="28"/>
      <c r="B35" s="29"/>
      <c r="C35" s="65"/>
      <c r="D35" s="73"/>
      <c r="E35" s="29"/>
      <c r="F35" s="28"/>
      <c r="G35" s="35" t="s">
        <v>155</v>
      </c>
      <c r="H35" s="35">
        <f>24000*0.01</f>
        <v>240</v>
      </c>
      <c r="I35" s="34">
        <v>0</v>
      </c>
      <c r="J35" s="94">
        <f t="shared" si="1"/>
        <v>0</v>
      </c>
      <c r="L35" s="95"/>
    </row>
    <row r="36" ht="16.5" spans="1:12">
      <c r="A36" s="28"/>
      <c r="B36" s="29"/>
      <c r="C36" s="65"/>
      <c r="D36" s="73"/>
      <c r="E36" s="29"/>
      <c r="F36" s="28"/>
      <c r="G36" s="35" t="s">
        <v>156</v>
      </c>
      <c r="H36" s="35">
        <f>5*5*2+5</f>
        <v>55</v>
      </c>
      <c r="I36" s="34">
        <v>0</v>
      </c>
      <c r="J36" s="94">
        <f t="shared" si="1"/>
        <v>0</v>
      </c>
      <c r="L36" s="95"/>
    </row>
    <row r="37" ht="16.5" spans="1:12">
      <c r="A37" s="28"/>
      <c r="B37" s="29"/>
      <c r="C37" s="65"/>
      <c r="D37" s="73"/>
      <c r="E37" s="29"/>
      <c r="F37" s="28">
        <v>45950</v>
      </c>
      <c r="G37" s="34" t="s">
        <v>60</v>
      </c>
      <c r="H37" s="35">
        <f>24000*5</f>
        <v>120000</v>
      </c>
      <c r="I37" s="34">
        <v>0.042</v>
      </c>
      <c r="J37" s="94">
        <f t="shared" si="1"/>
        <v>5040</v>
      </c>
      <c r="L37" s="95"/>
    </row>
    <row r="38" ht="16.5" spans="1:12">
      <c r="A38" s="28"/>
      <c r="B38" s="29"/>
      <c r="C38" s="65"/>
      <c r="D38" s="73"/>
      <c r="E38" s="29"/>
      <c r="F38" s="28"/>
      <c r="G38" s="34" t="s">
        <v>157</v>
      </c>
      <c r="H38" s="35">
        <v>24000</v>
      </c>
      <c r="I38" s="34">
        <v>0.027</v>
      </c>
      <c r="J38" s="94">
        <f t="shared" si="1"/>
        <v>648</v>
      </c>
      <c r="L38" s="95"/>
    </row>
    <row r="39" ht="16.5" spans="1:12">
      <c r="A39" s="28"/>
      <c r="B39" s="29"/>
      <c r="C39" s="65"/>
      <c r="D39" s="73"/>
      <c r="E39" s="29"/>
      <c r="F39" s="28">
        <v>45953</v>
      </c>
      <c r="G39" s="35" t="s">
        <v>72</v>
      </c>
      <c r="H39" s="35">
        <v>24000</v>
      </c>
      <c r="I39" s="35">
        <v>0.24</v>
      </c>
      <c r="J39" s="94">
        <f t="shared" si="1"/>
        <v>5760</v>
      </c>
      <c r="L39" s="95"/>
    </row>
    <row r="40" ht="16.5" spans="1:12">
      <c r="A40" s="28"/>
      <c r="B40" s="29"/>
      <c r="C40" s="65"/>
      <c r="D40" s="73"/>
      <c r="E40" s="29"/>
      <c r="F40" s="28"/>
      <c r="G40" s="34" t="s">
        <v>22</v>
      </c>
      <c r="H40" s="35">
        <v>24000</v>
      </c>
      <c r="I40" s="34">
        <v>0.11</v>
      </c>
      <c r="J40" s="94">
        <f t="shared" si="1"/>
        <v>2640</v>
      </c>
      <c r="L40" s="95"/>
    </row>
    <row r="43" ht="28.5" spans="1:12">
      <c r="A43" s="49" t="s">
        <v>158</v>
      </c>
      <c r="B43" s="49"/>
      <c r="C43" s="49"/>
      <c r="D43" s="49"/>
      <c r="E43" s="49"/>
      <c r="F43" s="49"/>
      <c r="G43" s="49"/>
      <c r="H43" s="49"/>
      <c r="I43" s="49"/>
      <c r="J43" s="49"/>
    </row>
    <row r="44" ht="14.5" spans="1:12">
      <c r="A44" s="50" t="s">
        <v>159</v>
      </c>
      <c r="B44" s="50" t="s">
        <v>160</v>
      </c>
      <c r="C44" s="50" t="s">
        <v>161</v>
      </c>
      <c r="D44" s="50" t="s">
        <v>162</v>
      </c>
      <c r="E44" s="50" t="s">
        <v>163</v>
      </c>
      <c r="F44" s="51" t="s">
        <v>164</v>
      </c>
      <c r="G44" s="50" t="s">
        <v>165</v>
      </c>
      <c r="H44" s="50" t="s">
        <v>166</v>
      </c>
      <c r="I44" s="50" t="s">
        <v>167</v>
      </c>
      <c r="J44" s="50" t="s">
        <v>168</v>
      </c>
    </row>
    <row r="45" ht="28.5" spans="1:12">
      <c r="A45" s="50"/>
      <c r="B45" s="50"/>
      <c r="C45" s="50"/>
      <c r="D45" s="50" t="s">
        <v>169</v>
      </c>
      <c r="E45" s="50"/>
      <c r="F45" s="51" t="s">
        <v>170</v>
      </c>
      <c r="G45" s="50"/>
      <c r="H45" s="50"/>
      <c r="I45" s="52" t="s">
        <v>171</v>
      </c>
      <c r="J45" s="50"/>
    </row>
    <row r="46" ht="14.5" spans="1:12">
      <c r="A46" s="96">
        <v>1</v>
      </c>
      <c r="B46" s="97">
        <v>46016</v>
      </c>
      <c r="C46" s="98" t="s">
        <v>172</v>
      </c>
      <c r="D46" s="98" t="s">
        <v>173</v>
      </c>
      <c r="E46" s="98" t="s">
        <v>174</v>
      </c>
      <c r="F46" s="98" t="s">
        <v>174</v>
      </c>
      <c r="G46" s="98" t="s">
        <v>174</v>
      </c>
      <c r="H46" s="98"/>
      <c r="I46" s="99">
        <v>35496</v>
      </c>
      <c r="J46" s="98"/>
    </row>
    <row r="47" spans="1:12">
      <c r="K47" s="100" t="s">
        <v>175</v>
      </c>
    </row>
    <row r="48" spans="1:12">
      <c r="K48" s="101"/>
    </row>
    <row r="49" spans="11:11">
      <c r="K49" s="102"/>
    </row>
    <row r="50" spans="11:11">
      <c r="K50" s="102" t="s">
        <v>176</v>
      </c>
    </row>
    <row r="51" spans="11:11">
      <c r="K51" s="103" t="s">
        <v>177</v>
      </c>
    </row>
  </sheetData>
  <autoFilter xmlns:etc="http://www.wps.cn/officeDocument/2017/etCustomData" ref="A1:J29" etc:filterBottomFollowUsedRange="0">
    <extLst/>
  </autoFilter>
  <mergeCells count="39">
    <mergeCell ref="A1:J1"/>
    <mergeCell ref="A43:J43"/>
    <mergeCell ref="A4:A9"/>
    <mergeCell ref="A10:A16"/>
    <mergeCell ref="A17:A21"/>
    <mergeCell ref="A34:A40"/>
    <mergeCell ref="A44:A45"/>
    <mergeCell ref="B4:B9"/>
    <mergeCell ref="B10:B16"/>
    <mergeCell ref="B17:B21"/>
    <mergeCell ref="B34:B40"/>
    <mergeCell ref="B44:B45"/>
    <mergeCell ref="C4:C9"/>
    <mergeCell ref="C10:C16"/>
    <mergeCell ref="C17:C21"/>
    <mergeCell ref="C34:C40"/>
    <mergeCell ref="C44:C45"/>
    <mergeCell ref="D4:D9"/>
    <mergeCell ref="D10:D16"/>
    <mergeCell ref="D17:D21"/>
    <mergeCell ref="D34:D40"/>
    <mergeCell ref="E4:E9"/>
    <mergeCell ref="E10:E16"/>
    <mergeCell ref="E17:E21"/>
    <mergeCell ref="E34:E40"/>
    <mergeCell ref="E44:E45"/>
    <mergeCell ref="F4:F6"/>
    <mergeCell ref="F8:F9"/>
    <mergeCell ref="F10:F13"/>
    <mergeCell ref="F15:F16"/>
    <mergeCell ref="F17:F19"/>
    <mergeCell ref="F34:F36"/>
    <mergeCell ref="F37:F38"/>
    <mergeCell ref="F39:F40"/>
    <mergeCell ref="G44:G45"/>
    <mergeCell ref="H44:H45"/>
    <mergeCell ref="J44:J45"/>
    <mergeCell ref="K47:K49"/>
    <mergeCell ref="L34:L40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F19" sqref="F1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14.4545454545455" style="24" customWidth="1"/>
    <col min="4" max="4" width="22.4545454545455" customWidth="1"/>
    <col min="5" max="5" width="28.8181818181818" customWidth="1"/>
    <col min="6" max="6" width="17.3636363636364" style="25" customWidth="1"/>
    <col min="7" max="7" width="63.6363636363636" customWidth="1"/>
    <col min="8" max="8" width="9.45454545454546" customWidth="1"/>
    <col min="9" max="9" width="12.3636363636364" customWidth="1"/>
    <col min="10" max="10" width="13.5454545454545" customWidth="1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112</v>
      </c>
    </row>
    <row r="3" ht="16.5" spans="1:10">
      <c r="A3" s="28">
        <v>45949</v>
      </c>
      <c r="B3" s="29" t="s">
        <v>117</v>
      </c>
      <c r="C3" s="65" t="s">
        <v>178</v>
      </c>
      <c r="D3" s="73" t="s">
        <v>179</v>
      </c>
      <c r="E3" s="29" t="s">
        <v>180</v>
      </c>
      <c r="F3" s="79" t="s">
        <v>181</v>
      </c>
      <c r="G3" s="35" t="s">
        <v>72</v>
      </c>
      <c r="H3" s="35">
        <v>30000</v>
      </c>
      <c r="I3" s="80">
        <v>0.039</v>
      </c>
      <c r="J3" s="81">
        <f t="shared" ref="J3:J8" si="0">H3*I3</f>
        <v>1170</v>
      </c>
    </row>
    <row r="4" ht="16.5" spans="1:10">
      <c r="A4" s="28"/>
      <c r="B4" s="29"/>
      <c r="C4" s="29"/>
      <c r="D4" s="73"/>
      <c r="E4" s="29"/>
      <c r="F4" s="79"/>
      <c r="G4" s="35" t="s">
        <v>182</v>
      </c>
      <c r="H4" s="35">
        <v>30000</v>
      </c>
      <c r="I4" s="82">
        <v>0</v>
      </c>
      <c r="J4" s="81">
        <f t="shared" si="0"/>
        <v>0</v>
      </c>
    </row>
    <row r="5" ht="16.5" spans="1:10">
      <c r="A5" s="28"/>
      <c r="B5" s="29"/>
      <c r="C5" s="29"/>
      <c r="D5" s="73"/>
      <c r="E5" s="29"/>
      <c r="F5" s="79"/>
      <c r="G5" s="35" t="s">
        <v>183</v>
      </c>
      <c r="H5" s="35">
        <f>H3*0.01</f>
        <v>300</v>
      </c>
      <c r="I5" s="82">
        <v>0</v>
      </c>
      <c r="J5" s="81">
        <f t="shared" si="0"/>
        <v>0</v>
      </c>
    </row>
    <row r="6" ht="16.5" spans="1:10">
      <c r="A6" s="28"/>
      <c r="B6" s="29"/>
      <c r="C6" s="29"/>
      <c r="D6" s="73"/>
      <c r="E6" s="29"/>
      <c r="F6" s="79"/>
      <c r="G6" s="35" t="s">
        <v>182</v>
      </c>
      <c r="H6" s="35">
        <f>H4*0.01</f>
        <v>300</v>
      </c>
      <c r="I6" s="82">
        <v>0</v>
      </c>
      <c r="J6" s="81">
        <f t="shared" si="0"/>
        <v>0</v>
      </c>
    </row>
    <row r="7" ht="16.5" spans="1:10">
      <c r="A7" s="79">
        <v>45967</v>
      </c>
      <c r="B7" s="65" t="s">
        <v>117</v>
      </c>
      <c r="C7" s="65" t="s">
        <v>138</v>
      </c>
      <c r="D7" s="66" t="s">
        <v>139</v>
      </c>
      <c r="E7" s="65" t="s">
        <v>140</v>
      </c>
      <c r="F7" s="79">
        <v>45986</v>
      </c>
      <c r="G7" s="35" t="s">
        <v>106</v>
      </c>
      <c r="H7" s="35">
        <f>5013*4</f>
        <v>20052</v>
      </c>
      <c r="I7" s="80">
        <v>0.007</v>
      </c>
      <c r="J7" s="83">
        <f t="shared" si="0"/>
        <v>140.364</v>
      </c>
    </row>
    <row r="8" ht="16.5" spans="1:10">
      <c r="A8" s="79"/>
      <c r="B8" s="65"/>
      <c r="C8" s="65"/>
      <c r="D8" s="66"/>
      <c r="E8" s="65"/>
      <c r="F8" s="79"/>
      <c r="G8" s="35" t="s">
        <v>184</v>
      </c>
      <c r="H8" s="35">
        <v>201</v>
      </c>
      <c r="I8" s="80">
        <v>0</v>
      </c>
      <c r="J8" s="81">
        <f t="shared" si="0"/>
        <v>0</v>
      </c>
    </row>
    <row r="9" ht="16.5" spans="1:10">
      <c r="J9" s="84">
        <f>SUM(J3:J8)</f>
        <v>1310.364</v>
      </c>
    </row>
  </sheetData>
  <autoFilter xmlns:etc="http://www.wps.cn/officeDocument/2017/etCustomData" ref="A1:J9" etc:filterBottomFollowUsedRange="0">
    <extLst/>
  </autoFilter>
  <mergeCells count="13">
    <mergeCell ref="A1:J1"/>
    <mergeCell ref="A3:A6"/>
    <mergeCell ref="A7:A8"/>
    <mergeCell ref="B3:B6"/>
    <mergeCell ref="B7:B8"/>
    <mergeCell ref="C3:C6"/>
    <mergeCell ref="C7:C8"/>
    <mergeCell ref="D3:D6"/>
    <mergeCell ref="D7:D8"/>
    <mergeCell ref="E3:E6"/>
    <mergeCell ref="E7:E8"/>
    <mergeCell ref="F3:F6"/>
    <mergeCell ref="F7:F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47" t="s">
        <v>54</v>
      </c>
      <c r="G3" s="35" t="s">
        <v>37</v>
      </c>
      <c r="H3" s="35">
        <v>6000</v>
      </c>
      <c r="I3" s="57">
        <v>0.368</v>
      </c>
      <c r="J3" s="35">
        <f t="shared" ref="J3:J17" si="0">H3*I3</f>
        <v>2208</v>
      </c>
    </row>
    <row r="4" s="1" customFormat="1" ht="16.5" spans="1:11">
      <c r="A4" s="55"/>
      <c r="B4" s="34"/>
      <c r="C4" s="29"/>
      <c r="D4" s="56"/>
      <c r="E4" s="29"/>
      <c r="F4" s="47"/>
      <c r="G4" s="35" t="s">
        <v>38</v>
      </c>
      <c r="H4" s="35">
        <v>42000</v>
      </c>
      <c r="I4" s="58">
        <v>0.042</v>
      </c>
      <c r="J4" s="35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47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47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1">
      <c r="A7" s="59">
        <v>45663</v>
      </c>
      <c r="B7" s="34" t="s">
        <v>39</v>
      </c>
      <c r="C7" s="29" t="s">
        <v>55</v>
      </c>
      <c r="D7" s="56" t="s">
        <v>56</v>
      </c>
      <c r="E7" s="28" t="s">
        <v>57</v>
      </c>
      <c r="F7" s="60" t="s">
        <v>58</v>
      </c>
      <c r="G7" s="32" t="s">
        <v>59</v>
      </c>
      <c r="H7" s="35">
        <v>8526</v>
      </c>
      <c r="I7" s="35">
        <v>0.35</v>
      </c>
      <c r="J7" s="35">
        <f t="shared" si="0"/>
        <v>2984.1</v>
      </c>
    </row>
    <row r="8" s="1" customFormat="1" ht="16.5" spans="1:11">
      <c r="A8" s="61"/>
      <c r="B8" s="34"/>
      <c r="C8" s="29"/>
      <c r="D8" s="56"/>
      <c r="E8" s="62"/>
      <c r="F8" s="60" t="s">
        <v>58</v>
      </c>
      <c r="G8" s="32" t="s">
        <v>60</v>
      </c>
      <c r="H8" s="35">
        <f>H7*5</f>
        <v>42630</v>
      </c>
      <c r="I8" s="35">
        <v>0.042</v>
      </c>
      <c r="J8" s="35">
        <f t="shared" si="0"/>
        <v>1790.46</v>
      </c>
    </row>
    <row r="9" s="1" customFormat="1" ht="16.5" spans="1:11">
      <c r="A9" s="61"/>
      <c r="B9" s="34"/>
      <c r="C9" s="29"/>
      <c r="D9" s="56"/>
      <c r="E9" s="62"/>
      <c r="F9" s="60" t="s">
        <v>58</v>
      </c>
      <c r="G9" s="32" t="s">
        <v>21</v>
      </c>
      <c r="H9" s="35">
        <v>8526</v>
      </c>
      <c r="I9" s="35">
        <v>0.28</v>
      </c>
      <c r="J9" s="35">
        <f t="shared" si="0"/>
        <v>2387.28</v>
      </c>
      <c r="K9" s="63"/>
    </row>
    <row r="10" s="1" customFormat="1" ht="16.5" spans="1:11">
      <c r="A10" s="64"/>
      <c r="B10" s="34"/>
      <c r="C10" s="29"/>
      <c r="D10" s="56"/>
      <c r="E10" s="62"/>
      <c r="F10" s="60"/>
      <c r="G10" s="32" t="s">
        <v>22</v>
      </c>
      <c r="H10" s="35">
        <v>8526</v>
      </c>
      <c r="I10" s="35">
        <v>0.11</v>
      </c>
      <c r="J10" s="35">
        <f t="shared" si="0"/>
        <v>937.86</v>
      </c>
    </row>
    <row r="11" s="1" customFormat="1" ht="16.5" spans="1:11">
      <c r="A11" s="62">
        <v>45679</v>
      </c>
      <c r="B11" s="34" t="s">
        <v>39</v>
      </c>
      <c r="C11" s="29" t="s">
        <v>43</v>
      </c>
      <c r="D11" s="30" t="s">
        <v>61</v>
      </c>
      <c r="E11" s="39" t="s">
        <v>43</v>
      </c>
      <c r="F11" s="39" t="s">
        <v>62</v>
      </c>
      <c r="G11" s="32" t="s">
        <v>63</v>
      </c>
      <c r="H11" s="32">
        <v>2000</v>
      </c>
      <c r="I11" s="32">
        <v>0.05</v>
      </c>
      <c r="J11" s="35">
        <f t="shared" si="0"/>
        <v>100</v>
      </c>
      <c r="K11" s="36"/>
    </row>
    <row r="12" s="1" customFormat="1" ht="16.5" spans="1:11">
      <c r="A12" s="28">
        <v>45700</v>
      </c>
      <c r="B12" s="29" t="s">
        <v>39</v>
      </c>
      <c r="C12" s="29" t="s">
        <v>64</v>
      </c>
      <c r="D12" s="30" t="s">
        <v>65</v>
      </c>
      <c r="E12" s="29" t="s">
        <v>66</v>
      </c>
      <c r="F12" s="31" t="s">
        <v>67</v>
      </c>
      <c r="G12" s="32" t="s">
        <v>68</v>
      </c>
      <c r="H12" s="33">
        <v>8782</v>
      </c>
      <c r="I12" s="34">
        <v>1.07</v>
      </c>
      <c r="J12" s="35">
        <f t="shared" si="0"/>
        <v>9396.74</v>
      </c>
      <c r="K12" s="36"/>
    </row>
    <row r="13" s="1" customFormat="1" ht="16.5" spans="1:11">
      <c r="A13" s="28"/>
      <c r="B13" s="29"/>
      <c r="C13" s="29"/>
      <c r="D13" s="30"/>
      <c r="E13" s="29"/>
      <c r="F13" s="37"/>
      <c r="G13" s="32" t="s">
        <v>69</v>
      </c>
      <c r="H13" s="33">
        <f>H15*0.01</f>
        <v>85.26</v>
      </c>
      <c r="I13" s="34">
        <v>0</v>
      </c>
      <c r="J13" s="35">
        <f t="shared" si="0"/>
        <v>0</v>
      </c>
      <c r="K13" s="36"/>
    </row>
    <row r="14" s="1" customFormat="1" ht="16.5" spans="1:11">
      <c r="A14" s="28"/>
      <c r="B14" s="29"/>
      <c r="C14" s="29"/>
      <c r="D14" s="30"/>
      <c r="E14" s="29"/>
      <c r="F14" s="38"/>
      <c r="G14" s="32" t="s">
        <v>70</v>
      </c>
      <c r="H14" s="33">
        <f>20+5+5</f>
        <v>30</v>
      </c>
      <c r="I14" s="34">
        <v>0</v>
      </c>
      <c r="J14" s="35">
        <f t="shared" si="0"/>
        <v>0</v>
      </c>
      <c r="K14" s="36"/>
    </row>
    <row r="15" s="1" customFormat="1" ht="16.5" spans="1:11">
      <c r="A15" s="28"/>
      <c r="B15" s="29"/>
      <c r="C15" s="29"/>
      <c r="D15" s="30"/>
      <c r="E15" s="29"/>
      <c r="F15" s="39" t="s">
        <v>71</v>
      </c>
      <c r="G15" s="32" t="s">
        <v>72</v>
      </c>
      <c r="H15" s="34">
        <f>3500+2500+2500+26</f>
        <v>8526</v>
      </c>
      <c r="I15" s="34">
        <v>0.28</v>
      </c>
      <c r="J15" s="35">
        <f t="shared" si="0"/>
        <v>2387.28</v>
      </c>
      <c r="K15" s="36"/>
    </row>
    <row r="16" s="1" customFormat="1" ht="16.5" spans="1:11">
      <c r="A16" s="28"/>
      <c r="B16" s="29"/>
      <c r="C16" s="29"/>
      <c r="D16" s="30"/>
      <c r="E16" s="29"/>
      <c r="F16" s="39" t="s">
        <v>71</v>
      </c>
      <c r="G16" s="32" t="s">
        <v>73</v>
      </c>
      <c r="H16" s="34">
        <f>250+175</f>
        <v>425</v>
      </c>
      <c r="I16" s="34">
        <v>0.042</v>
      </c>
      <c r="J16" s="35">
        <f t="shared" si="0"/>
        <v>17.85</v>
      </c>
      <c r="K16" s="36"/>
    </row>
    <row r="17" s="1" customFormat="1" ht="16.5" spans="1:11">
      <c r="A17" s="28">
        <v>45701</v>
      </c>
      <c r="B17" s="29" t="s">
        <v>39</v>
      </c>
      <c r="C17" s="65" t="s">
        <v>74</v>
      </c>
      <c r="D17" s="66" t="s">
        <v>75</v>
      </c>
      <c r="E17" s="65" t="s">
        <v>76</v>
      </c>
      <c r="F17" s="67" t="s">
        <v>77</v>
      </c>
      <c r="G17" s="35" t="s">
        <v>68</v>
      </c>
      <c r="H17" s="68">
        <f>6077+4223</f>
        <v>10300</v>
      </c>
      <c r="I17" s="68">
        <v>1.07</v>
      </c>
      <c r="J17" s="68">
        <f t="shared" si="0"/>
        <v>11021</v>
      </c>
      <c r="K17" s="36"/>
    </row>
    <row r="18" s="1" customFormat="1" ht="16.5" spans="1:11">
      <c r="A18" s="28"/>
      <c r="B18" s="29"/>
      <c r="C18" s="69"/>
      <c r="D18" s="66"/>
      <c r="E18" s="65"/>
      <c r="F18" s="70"/>
      <c r="G18" s="35" t="s">
        <v>69</v>
      </c>
      <c r="H18" s="68">
        <f>10000*0.01</f>
        <v>100</v>
      </c>
      <c r="I18" s="68">
        <v>0</v>
      </c>
      <c r="J18" s="68">
        <v>0</v>
      </c>
      <c r="K18" s="36"/>
    </row>
    <row r="19" s="1" customFormat="1" ht="16.5" spans="1:11">
      <c r="A19" s="28"/>
      <c r="B19" s="29"/>
      <c r="C19" s="69"/>
      <c r="D19" s="66"/>
      <c r="E19" s="65"/>
      <c r="F19" s="70"/>
      <c r="G19" s="35" t="s">
        <v>72</v>
      </c>
      <c r="H19" s="34">
        <f>2200+1000</f>
        <v>3200</v>
      </c>
      <c r="I19" s="34">
        <v>0.28</v>
      </c>
      <c r="J19" s="34">
        <f t="shared" ref="J19:J24" si="1">H19*I19</f>
        <v>896</v>
      </c>
      <c r="K19" s="36"/>
    </row>
    <row r="20" s="1" customFormat="1" ht="16.5" spans="1:11">
      <c r="A20" s="28"/>
      <c r="B20" s="29"/>
      <c r="C20" s="69"/>
      <c r="D20" s="66"/>
      <c r="E20" s="65"/>
      <c r="F20" s="70"/>
      <c r="G20" s="34" t="s">
        <v>22</v>
      </c>
      <c r="H20" s="34">
        <v>10000</v>
      </c>
      <c r="I20" s="34">
        <v>0.11</v>
      </c>
      <c r="J20" s="34">
        <f t="shared" si="1"/>
        <v>1100</v>
      </c>
      <c r="K20" s="36"/>
    </row>
    <row r="21" s="1" customFormat="1" ht="16.5" spans="1:11">
      <c r="A21" s="28"/>
      <c r="B21" s="29"/>
      <c r="C21" s="69"/>
      <c r="D21" s="66"/>
      <c r="E21" s="65"/>
      <c r="F21" s="71"/>
      <c r="G21" s="34" t="s">
        <v>60</v>
      </c>
      <c r="H21" s="34">
        <f>3200*5</f>
        <v>16000</v>
      </c>
      <c r="I21" s="34">
        <v>0.042</v>
      </c>
      <c r="J21" s="34">
        <f t="shared" si="1"/>
        <v>672</v>
      </c>
      <c r="K21" s="36"/>
    </row>
    <row r="22" s="1" customFormat="1" ht="16.5" spans="1:11">
      <c r="A22" s="28"/>
      <c r="B22" s="29"/>
      <c r="C22" s="69"/>
      <c r="D22" s="66"/>
      <c r="E22" s="65"/>
      <c r="F22" s="72" t="s">
        <v>78</v>
      </c>
      <c r="G22" s="35" t="s">
        <v>79</v>
      </c>
      <c r="H22" s="34">
        <v>1000</v>
      </c>
      <c r="I22" s="34">
        <v>0.24</v>
      </c>
      <c r="J22" s="34">
        <f t="shared" si="1"/>
        <v>240</v>
      </c>
      <c r="K22" s="36"/>
    </row>
    <row r="23" s="1" customFormat="1" ht="16.5" spans="1:11">
      <c r="A23" s="28">
        <v>45716</v>
      </c>
      <c r="B23" s="29" t="s">
        <v>39</v>
      </c>
      <c r="C23" s="29" t="s">
        <v>80</v>
      </c>
      <c r="D23" s="73" t="s">
        <v>81</v>
      </c>
      <c r="E23" s="29" t="s">
        <v>82</v>
      </c>
      <c r="F23" s="67" t="s">
        <v>83</v>
      </c>
      <c r="G23" s="35" t="s">
        <v>68</v>
      </c>
      <c r="H23" s="68">
        <v>3104</v>
      </c>
      <c r="I23" s="68">
        <v>1.07</v>
      </c>
      <c r="J23" s="68">
        <f t="shared" si="1"/>
        <v>3321.28</v>
      </c>
      <c r="K23"/>
    </row>
    <row r="24" ht="16.5" spans="1:11">
      <c r="A24" s="28"/>
      <c r="B24" s="29"/>
      <c r="C24" s="29"/>
      <c r="D24" s="73"/>
      <c r="E24" s="29"/>
      <c r="F24" s="70"/>
      <c r="G24" s="35" t="s">
        <v>69</v>
      </c>
      <c r="H24" s="68">
        <v>30</v>
      </c>
      <c r="I24" s="68">
        <v>0</v>
      </c>
      <c r="J24" s="68">
        <f t="shared" si="1"/>
        <v>0</v>
      </c>
    </row>
    <row r="25" ht="16.5" spans="1:11">
      <c r="A25" s="28"/>
      <c r="B25" s="29"/>
      <c r="C25" s="29"/>
      <c r="D25" s="73"/>
      <c r="E25" s="29"/>
      <c r="F25" s="70"/>
      <c r="G25" s="29" t="s">
        <v>70</v>
      </c>
      <c r="H25" s="68">
        <v>30</v>
      </c>
      <c r="I25" s="68">
        <v>0</v>
      </c>
      <c r="J25" s="68">
        <v>0</v>
      </c>
    </row>
    <row r="26" ht="16.5" spans="1:11">
      <c r="A26" s="28"/>
      <c r="B26" s="29"/>
      <c r="C26" s="29"/>
      <c r="D26" s="73"/>
      <c r="E26" s="29"/>
      <c r="F26" s="70"/>
      <c r="G26" s="35" t="s">
        <v>72</v>
      </c>
      <c r="H26" s="34">
        <v>1013</v>
      </c>
      <c r="I26" s="34">
        <v>0.28</v>
      </c>
      <c r="J26" s="68">
        <f>H26*I26</f>
        <v>283.64</v>
      </c>
    </row>
    <row r="27" ht="16.5" spans="1:11">
      <c r="A27" s="28"/>
      <c r="B27" s="29"/>
      <c r="C27" s="29"/>
      <c r="D27" s="73"/>
      <c r="E27" s="29"/>
      <c r="F27" s="70"/>
      <c r="G27" s="34" t="s">
        <v>22</v>
      </c>
      <c r="H27" s="68">
        <f>1500+13+1000+500</f>
        <v>3013</v>
      </c>
      <c r="I27" s="34">
        <v>0.11</v>
      </c>
      <c r="J27" s="68">
        <f>H27*I27</f>
        <v>331.43</v>
      </c>
    </row>
    <row r="28" ht="16.5" spans="1:11">
      <c r="A28" s="28"/>
      <c r="B28" s="29"/>
      <c r="C28" s="29"/>
      <c r="D28" s="73"/>
      <c r="E28" s="29"/>
      <c r="F28" s="70"/>
      <c r="G28" s="35" t="s">
        <v>79</v>
      </c>
      <c r="H28" s="34">
        <f>1500+500</f>
        <v>2000</v>
      </c>
      <c r="I28" s="34">
        <v>0.24</v>
      </c>
      <c r="J28" s="68">
        <f>H28*I28</f>
        <v>480</v>
      </c>
    </row>
    <row r="29" ht="16.5" spans="1:11">
      <c r="A29" s="28"/>
      <c r="B29" s="29"/>
      <c r="C29" s="29"/>
      <c r="D29" s="73"/>
      <c r="E29" s="29"/>
      <c r="F29" s="71"/>
      <c r="G29" s="34" t="s">
        <v>60</v>
      </c>
      <c r="H29" s="34">
        <f>3013*5</f>
        <v>15065</v>
      </c>
      <c r="I29" s="34">
        <v>0.042</v>
      </c>
      <c r="J29" s="68">
        <f>H29*I29</f>
        <v>632.73</v>
      </c>
    </row>
    <row r="30" ht="16.5" spans="1:11">
      <c r="A30" s="28">
        <v>45724</v>
      </c>
      <c r="B30" s="29" t="s">
        <v>39</v>
      </c>
      <c r="C30" s="29" t="s">
        <v>43</v>
      </c>
      <c r="D30" s="73" t="s">
        <v>84</v>
      </c>
      <c r="E30" s="29" t="s">
        <v>85</v>
      </c>
      <c r="F30" s="67" t="s">
        <v>86</v>
      </c>
      <c r="G30" s="35" t="s">
        <v>87</v>
      </c>
      <c r="H30" s="74">
        <f>1402+2438+3049+2202+1210</f>
        <v>10301</v>
      </c>
      <c r="I30" s="68">
        <v>1.07</v>
      </c>
      <c r="J30" s="68">
        <f>H30*I30</f>
        <v>11022.07</v>
      </c>
    </row>
    <row r="31" ht="16.5" spans="1:11">
      <c r="A31" s="28"/>
      <c r="B31" s="29"/>
      <c r="C31" s="29"/>
      <c r="D31" s="73"/>
      <c r="E31" s="29"/>
      <c r="F31" s="70"/>
      <c r="G31" s="35" t="s">
        <v>69</v>
      </c>
      <c r="H31" s="74">
        <v>103</v>
      </c>
      <c r="I31" s="68">
        <v>0</v>
      </c>
      <c r="J31" s="68">
        <v>0</v>
      </c>
    </row>
    <row r="32" ht="16.5" spans="1:11">
      <c r="A32" s="28"/>
      <c r="B32" s="29"/>
      <c r="C32" s="29"/>
      <c r="D32" s="73"/>
      <c r="E32" s="29"/>
      <c r="F32" s="70"/>
      <c r="G32" s="35" t="s">
        <v>72</v>
      </c>
      <c r="H32" s="34">
        <f>589+1009+1220+883+505+773+1358+1740+1255+669</f>
        <v>10001</v>
      </c>
      <c r="I32" s="34">
        <v>0.28</v>
      </c>
      <c r="J32" s="34">
        <f t="shared" ref="J32:J41" si="2">H32*I32</f>
        <v>2800.28</v>
      </c>
    </row>
    <row r="33" ht="16.5" spans="1:10">
      <c r="A33" s="28"/>
      <c r="B33" s="29"/>
      <c r="C33" s="29"/>
      <c r="D33" s="73"/>
      <c r="E33" s="29"/>
      <c r="F33" s="70"/>
      <c r="G33" s="34" t="s">
        <v>22</v>
      </c>
      <c r="H33" s="35">
        <f>1362+2367+2960+2138+1174</f>
        <v>10001</v>
      </c>
      <c r="I33" s="34">
        <v>0.11</v>
      </c>
      <c r="J33" s="34">
        <f t="shared" si="2"/>
        <v>1100.11</v>
      </c>
    </row>
    <row r="34" ht="16.5" spans="1:10">
      <c r="A34" s="28"/>
      <c r="B34" s="29"/>
      <c r="C34" s="29"/>
      <c r="D34" s="73"/>
      <c r="E34" s="29"/>
      <c r="F34" s="71"/>
      <c r="G34" s="34" t="s">
        <v>60</v>
      </c>
      <c r="H34" s="34">
        <f>10001*5</f>
        <v>50005</v>
      </c>
      <c r="I34" s="34">
        <v>0.042</v>
      </c>
      <c r="J34" s="34">
        <f t="shared" si="2"/>
        <v>2100.21</v>
      </c>
    </row>
    <row r="35" ht="16.5" spans="1:10">
      <c r="A35" s="28">
        <v>45730</v>
      </c>
      <c r="B35" s="29" t="s">
        <v>117</v>
      </c>
      <c r="C35" s="29" t="s">
        <v>185</v>
      </c>
      <c r="D35" s="73" t="s">
        <v>186</v>
      </c>
      <c r="E35" s="29" t="s">
        <v>187</v>
      </c>
      <c r="F35" s="67" t="s">
        <v>188</v>
      </c>
      <c r="G35" s="35" t="s">
        <v>189</v>
      </c>
      <c r="H35" s="74">
        <f>32000*1.02</f>
        <v>32640</v>
      </c>
      <c r="I35" s="68">
        <v>1.07</v>
      </c>
      <c r="J35" s="68">
        <f t="shared" si="2"/>
        <v>34924.8</v>
      </c>
    </row>
    <row r="36" ht="16.5" spans="1:10">
      <c r="A36" s="28"/>
      <c r="B36" s="29"/>
      <c r="C36" s="29"/>
      <c r="D36" s="73"/>
      <c r="E36" s="29"/>
      <c r="F36" s="70"/>
      <c r="G36" s="35" t="s">
        <v>69</v>
      </c>
      <c r="H36" s="74">
        <v>320</v>
      </c>
      <c r="I36" s="68">
        <v>0</v>
      </c>
      <c r="J36" s="68">
        <f t="shared" si="2"/>
        <v>0</v>
      </c>
    </row>
    <row r="37" ht="16.5" spans="1:10">
      <c r="A37" s="28"/>
      <c r="B37" s="29"/>
      <c r="C37" s="29"/>
      <c r="D37" s="73"/>
      <c r="E37" s="29"/>
      <c r="F37" s="70"/>
      <c r="G37" s="29" t="s">
        <v>95</v>
      </c>
      <c r="H37" s="74">
        <f>2*5*5+5</f>
        <v>55</v>
      </c>
      <c r="I37" s="68">
        <v>0</v>
      </c>
      <c r="J37" s="68">
        <f t="shared" si="2"/>
        <v>0</v>
      </c>
    </row>
    <row r="38" ht="16.5" spans="1:10">
      <c r="A38" s="28"/>
      <c r="B38" s="29"/>
      <c r="C38" s="29"/>
      <c r="D38" s="73"/>
      <c r="E38" s="29"/>
      <c r="F38" s="70"/>
      <c r="G38" s="35" t="s">
        <v>72</v>
      </c>
      <c r="H38" s="74">
        <f>8000+8000+8000+8000</f>
        <v>32000</v>
      </c>
      <c r="I38" s="34">
        <v>0.28</v>
      </c>
      <c r="J38" s="68">
        <f t="shared" si="2"/>
        <v>8960</v>
      </c>
    </row>
    <row r="39" ht="16.5" spans="1:10">
      <c r="A39" s="28"/>
      <c r="B39" s="29"/>
      <c r="C39" s="29"/>
      <c r="D39" s="73"/>
      <c r="E39" s="29"/>
      <c r="F39" s="70"/>
      <c r="G39" s="34" t="s">
        <v>22</v>
      </c>
      <c r="H39" s="74">
        <f>8000+8000+8000+8000</f>
        <v>32000</v>
      </c>
      <c r="I39" s="34">
        <v>0.11</v>
      </c>
      <c r="J39" s="68">
        <f t="shared" si="2"/>
        <v>3520</v>
      </c>
    </row>
    <row r="40" ht="16.5" spans="1:10">
      <c r="A40" s="28"/>
      <c r="B40" s="29"/>
      <c r="C40" s="29"/>
      <c r="D40" s="73"/>
      <c r="E40" s="29"/>
      <c r="F40" s="71"/>
      <c r="G40" s="34" t="s">
        <v>106</v>
      </c>
      <c r="H40" s="34">
        <f>32000*4</f>
        <v>128000</v>
      </c>
      <c r="I40" s="34">
        <v>0.042</v>
      </c>
      <c r="J40" s="34">
        <f t="shared" si="2"/>
        <v>5376</v>
      </c>
    </row>
    <row r="41" ht="16.5" spans="1:10">
      <c r="A41" s="28">
        <v>45733</v>
      </c>
      <c r="B41" s="29" t="s">
        <v>39</v>
      </c>
      <c r="C41" s="29" t="s">
        <v>43</v>
      </c>
      <c r="D41" s="73" t="s">
        <v>88</v>
      </c>
      <c r="E41" s="29" t="s">
        <v>89</v>
      </c>
      <c r="F41" s="67" t="s">
        <v>83</v>
      </c>
      <c r="G41" s="35" t="s">
        <v>90</v>
      </c>
      <c r="H41" s="74">
        <f>1414+2424+2929+2121+1212</f>
        <v>10100</v>
      </c>
      <c r="I41" s="68">
        <v>1.07</v>
      </c>
      <c r="J41" s="68">
        <f t="shared" si="2"/>
        <v>10807</v>
      </c>
    </row>
    <row r="42" ht="16.5" spans="1:10">
      <c r="A42" s="28"/>
      <c r="B42" s="29"/>
      <c r="C42" s="29"/>
      <c r="D42" s="73"/>
      <c r="E42" s="29"/>
      <c r="F42" s="70"/>
      <c r="G42" s="35" t="s">
        <v>69</v>
      </c>
      <c r="H42" s="74">
        <f>10000*0.01</f>
        <v>100</v>
      </c>
      <c r="I42" s="68">
        <v>0</v>
      </c>
      <c r="J42" s="68">
        <v>0</v>
      </c>
    </row>
    <row r="43" ht="16.5" spans="1:10">
      <c r="A43" s="28"/>
      <c r="B43" s="29"/>
      <c r="C43" s="29"/>
      <c r="D43" s="73"/>
      <c r="E43" s="29"/>
      <c r="F43" s="70"/>
      <c r="G43" s="35" t="s">
        <v>91</v>
      </c>
      <c r="H43" s="74">
        <f>1442+2472+2987+2163+1236-10100</f>
        <v>200</v>
      </c>
      <c r="I43" s="68">
        <v>1.07</v>
      </c>
      <c r="J43" s="68">
        <f t="shared" ref="J43:J74" si="3">H43*I43</f>
        <v>214</v>
      </c>
    </row>
    <row r="44" ht="16.5" spans="1:10">
      <c r="A44" s="28"/>
      <c r="B44" s="29"/>
      <c r="C44" s="29"/>
      <c r="D44" s="73"/>
      <c r="E44" s="29"/>
      <c r="F44" s="70"/>
      <c r="G44" s="35" t="s">
        <v>72</v>
      </c>
      <c r="H44" s="35">
        <f>840+1440+1740+1260+720+560+960+1160+840+480</f>
        <v>10000</v>
      </c>
      <c r="I44" s="34">
        <v>0.28</v>
      </c>
      <c r="J44" s="34">
        <f t="shared" si="3"/>
        <v>2800</v>
      </c>
    </row>
    <row r="45" ht="16.5" spans="1:10">
      <c r="A45" s="28"/>
      <c r="B45" s="29"/>
      <c r="C45" s="29"/>
      <c r="D45" s="73"/>
      <c r="E45" s="29"/>
      <c r="F45" s="70"/>
      <c r="G45" s="34" t="s">
        <v>22</v>
      </c>
      <c r="H45" s="35">
        <f>1400+2400+2900+2100+1200</f>
        <v>10000</v>
      </c>
      <c r="I45" s="34">
        <v>0.11</v>
      </c>
      <c r="J45" s="34">
        <f t="shared" si="3"/>
        <v>1100</v>
      </c>
    </row>
    <row r="46" ht="16.5" spans="1:10">
      <c r="A46" s="28"/>
      <c r="B46" s="29"/>
      <c r="C46" s="29"/>
      <c r="D46" s="73"/>
      <c r="E46" s="29"/>
      <c r="F46" s="71"/>
      <c r="G46" s="34" t="s">
        <v>60</v>
      </c>
      <c r="H46" s="34">
        <f>10000*5</f>
        <v>50000</v>
      </c>
      <c r="I46" s="34">
        <v>0.042</v>
      </c>
      <c r="J46" s="34">
        <f t="shared" si="3"/>
        <v>2100</v>
      </c>
    </row>
    <row r="47" ht="16.5" spans="1:10">
      <c r="A47" s="28">
        <v>45734</v>
      </c>
      <c r="B47" s="29" t="s">
        <v>39</v>
      </c>
      <c r="C47" s="29" t="s">
        <v>92</v>
      </c>
      <c r="D47" s="73" t="s">
        <v>93</v>
      </c>
      <c r="E47" s="29" t="s">
        <v>94</v>
      </c>
      <c r="F47" s="67" t="s">
        <v>83</v>
      </c>
      <c r="G47" s="35" t="s">
        <v>68</v>
      </c>
      <c r="H47" s="75">
        <v>9283</v>
      </c>
      <c r="I47" s="68">
        <v>1.07</v>
      </c>
      <c r="J47" s="68">
        <f t="shared" si="3"/>
        <v>9932.81</v>
      </c>
    </row>
    <row r="48" ht="16.5" spans="1:10">
      <c r="A48" s="28"/>
      <c r="B48" s="29"/>
      <c r="C48" s="29"/>
      <c r="D48" s="73"/>
      <c r="E48" s="29"/>
      <c r="F48" s="70"/>
      <c r="G48" s="35" t="s">
        <v>69</v>
      </c>
      <c r="H48" s="74">
        <v>90</v>
      </c>
      <c r="I48" s="68">
        <v>0</v>
      </c>
      <c r="J48" s="68">
        <f t="shared" si="3"/>
        <v>0</v>
      </c>
    </row>
    <row r="49" ht="16.5" spans="1:10">
      <c r="A49" s="28"/>
      <c r="B49" s="29"/>
      <c r="C49" s="29"/>
      <c r="D49" s="73"/>
      <c r="E49" s="29"/>
      <c r="F49" s="70"/>
      <c r="G49" s="29" t="s">
        <v>95</v>
      </c>
      <c r="H49" s="74">
        <f>4*5+5</f>
        <v>25</v>
      </c>
      <c r="I49" s="68">
        <v>0</v>
      </c>
      <c r="J49" s="68">
        <f t="shared" si="3"/>
        <v>0</v>
      </c>
    </row>
    <row r="50" ht="16.5" spans="1:10">
      <c r="A50" s="28"/>
      <c r="B50" s="29"/>
      <c r="C50" s="29"/>
      <c r="D50" s="73"/>
      <c r="E50" s="29"/>
      <c r="F50" s="70"/>
      <c r="G50" s="35" t="s">
        <v>72</v>
      </c>
      <c r="H50" s="74">
        <f>3000+3000+3000+13</f>
        <v>9013</v>
      </c>
      <c r="I50" s="34">
        <v>0.28</v>
      </c>
      <c r="J50" s="68">
        <f t="shared" si="3"/>
        <v>2523.64</v>
      </c>
    </row>
    <row r="51" ht="16.5" spans="1:10">
      <c r="A51" s="28"/>
      <c r="B51" s="29"/>
      <c r="C51" s="29"/>
      <c r="D51" s="73"/>
      <c r="E51" s="29"/>
      <c r="F51" s="70"/>
      <c r="G51" s="34" t="s">
        <v>22</v>
      </c>
      <c r="H51" s="74">
        <f>3000+3000+3000+13</f>
        <v>9013</v>
      </c>
      <c r="I51" s="34">
        <v>0.11</v>
      </c>
      <c r="J51" s="68">
        <f t="shared" si="3"/>
        <v>991.43</v>
      </c>
    </row>
    <row r="52" ht="16.5" spans="1:10">
      <c r="A52" s="28"/>
      <c r="B52" s="29"/>
      <c r="C52" s="29"/>
      <c r="D52" s="73"/>
      <c r="E52" s="29"/>
      <c r="F52" s="71"/>
      <c r="G52" s="34" t="s">
        <v>60</v>
      </c>
      <c r="H52" s="34">
        <f>9013*5</f>
        <v>45065</v>
      </c>
      <c r="I52" s="34">
        <v>0.042</v>
      </c>
      <c r="J52" s="34">
        <f t="shared" si="3"/>
        <v>1892.73</v>
      </c>
    </row>
    <row r="53" ht="16.5" spans="1:10">
      <c r="A53" s="28">
        <v>45738</v>
      </c>
      <c r="B53" s="29" t="s">
        <v>39</v>
      </c>
      <c r="C53" s="29" t="s">
        <v>96</v>
      </c>
      <c r="D53" s="73" t="s">
        <v>97</v>
      </c>
      <c r="E53" s="29" t="s">
        <v>98</v>
      </c>
      <c r="F53" s="67" t="s">
        <v>83</v>
      </c>
      <c r="G53" s="35" t="s">
        <v>68</v>
      </c>
      <c r="H53" s="68">
        <f>999+2338+4573+3203+1246</f>
        <v>12359</v>
      </c>
      <c r="I53" s="68">
        <v>1.07</v>
      </c>
      <c r="J53" s="68">
        <f t="shared" si="3"/>
        <v>13224.13</v>
      </c>
    </row>
    <row r="54" ht="16.5" spans="1:10">
      <c r="A54" s="28"/>
      <c r="B54" s="29"/>
      <c r="C54" s="29"/>
      <c r="D54" s="73"/>
      <c r="E54" s="29"/>
      <c r="F54" s="70"/>
      <c r="G54" s="35" t="s">
        <v>69</v>
      </c>
      <c r="H54" s="68">
        <f>12000*0.01</f>
        <v>120</v>
      </c>
      <c r="I54" s="68">
        <v>0</v>
      </c>
      <c r="J54" s="68">
        <f t="shared" si="3"/>
        <v>0</v>
      </c>
    </row>
    <row r="55" ht="16.5" spans="1:10">
      <c r="A55" s="28"/>
      <c r="B55" s="29"/>
      <c r="C55" s="29"/>
      <c r="D55" s="73"/>
      <c r="E55" s="29"/>
      <c r="F55" s="70"/>
      <c r="G55" s="35" t="s">
        <v>72</v>
      </c>
      <c r="H55" s="34">
        <v>2900</v>
      </c>
      <c r="I55" s="34">
        <v>0.28</v>
      </c>
      <c r="J55" s="68">
        <f t="shared" si="3"/>
        <v>812</v>
      </c>
    </row>
    <row r="56" ht="16.5" spans="1:10">
      <c r="A56" s="28"/>
      <c r="B56" s="29"/>
      <c r="C56" s="29"/>
      <c r="D56" s="73"/>
      <c r="E56" s="29"/>
      <c r="F56" s="70"/>
      <c r="G56" s="34" t="s">
        <v>22</v>
      </c>
      <c r="H56" s="34">
        <f>2900+2000</f>
        <v>4900</v>
      </c>
      <c r="I56" s="34">
        <v>0.11</v>
      </c>
      <c r="J56" s="68">
        <f t="shared" si="3"/>
        <v>539</v>
      </c>
    </row>
    <row r="57" ht="16.5" spans="1:10">
      <c r="A57" s="28"/>
      <c r="B57" s="29"/>
      <c r="C57" s="29"/>
      <c r="D57" s="73"/>
      <c r="E57" s="29"/>
      <c r="F57" s="70"/>
      <c r="G57" s="35" t="s">
        <v>79</v>
      </c>
      <c r="H57" s="34">
        <v>2000</v>
      </c>
      <c r="I57" s="34">
        <v>0.24</v>
      </c>
      <c r="J57" s="68">
        <f t="shared" si="3"/>
        <v>480</v>
      </c>
    </row>
    <row r="58" ht="16.5" spans="1:10">
      <c r="A58" s="28"/>
      <c r="B58" s="29"/>
      <c r="C58" s="29"/>
      <c r="D58" s="73"/>
      <c r="E58" s="29"/>
      <c r="F58" s="71"/>
      <c r="G58" s="34" t="s">
        <v>60</v>
      </c>
      <c r="H58" s="34">
        <f>12000*5</f>
        <v>60000</v>
      </c>
      <c r="I58" s="34">
        <v>0.042</v>
      </c>
      <c r="J58" s="34">
        <f t="shared" si="3"/>
        <v>2520</v>
      </c>
    </row>
    <row r="59" ht="16.5" spans="1:10">
      <c r="A59" s="28">
        <v>45742</v>
      </c>
      <c r="B59" s="29" t="s">
        <v>190</v>
      </c>
      <c r="C59" s="29" t="s">
        <v>191</v>
      </c>
      <c r="D59" s="73" t="s">
        <v>192</v>
      </c>
      <c r="E59" s="29" t="s">
        <v>193</v>
      </c>
      <c r="F59" s="76" t="s">
        <v>78</v>
      </c>
      <c r="G59" s="35" t="s">
        <v>87</v>
      </c>
      <c r="H59" s="35">
        <v>8000</v>
      </c>
      <c r="I59" s="35">
        <v>1.07</v>
      </c>
      <c r="J59" s="35">
        <f t="shared" si="3"/>
        <v>8560</v>
      </c>
    </row>
    <row r="60" ht="16.5" spans="1:10">
      <c r="A60" s="28"/>
      <c r="B60" s="29"/>
      <c r="C60" s="29"/>
      <c r="D60" s="73"/>
      <c r="E60" s="29"/>
      <c r="F60" s="76"/>
      <c r="G60" s="35" t="s">
        <v>69</v>
      </c>
      <c r="H60" s="35">
        <f>H59*0.01</f>
        <v>80</v>
      </c>
      <c r="I60" s="35">
        <v>0</v>
      </c>
      <c r="J60" s="35">
        <f t="shared" si="3"/>
        <v>0</v>
      </c>
    </row>
    <row r="61" ht="16.5" spans="1:10">
      <c r="A61" s="28"/>
      <c r="B61" s="29"/>
      <c r="C61" s="29"/>
      <c r="D61" s="73"/>
      <c r="E61" s="29"/>
      <c r="F61" s="76"/>
      <c r="G61" s="35" t="s">
        <v>72</v>
      </c>
      <c r="H61" s="35">
        <v>8000</v>
      </c>
      <c r="I61" s="35">
        <v>0.28</v>
      </c>
      <c r="J61" s="35">
        <f t="shared" si="3"/>
        <v>2240</v>
      </c>
    </row>
    <row r="62" ht="16.5" spans="1:10">
      <c r="A62" s="28"/>
      <c r="B62" s="29"/>
      <c r="C62" s="29"/>
      <c r="D62" s="73"/>
      <c r="E62" s="29"/>
      <c r="F62" s="76"/>
      <c r="G62" s="35" t="s">
        <v>22</v>
      </c>
      <c r="H62" s="35">
        <v>8000</v>
      </c>
      <c r="I62" s="35">
        <v>0.11</v>
      </c>
      <c r="J62" s="35">
        <f t="shared" si="3"/>
        <v>880</v>
      </c>
    </row>
    <row r="63" ht="16.5" spans="1:10">
      <c r="A63" s="28"/>
      <c r="B63" s="29"/>
      <c r="C63" s="29"/>
      <c r="D63" s="73"/>
      <c r="E63" s="29"/>
      <c r="F63" s="76"/>
      <c r="G63" s="35" t="s">
        <v>106</v>
      </c>
      <c r="H63" s="35">
        <f>8000*4</f>
        <v>32000</v>
      </c>
      <c r="I63" s="35">
        <v>0.042</v>
      </c>
      <c r="J63" s="35">
        <f t="shared" si="3"/>
        <v>1344</v>
      </c>
    </row>
    <row r="64" ht="16.5" spans="1:10">
      <c r="A64" s="28"/>
      <c r="B64" s="29"/>
      <c r="C64" s="29"/>
      <c r="D64" s="73"/>
      <c r="E64" s="29"/>
      <c r="F64" s="76"/>
      <c r="G64" s="35" t="s">
        <v>87</v>
      </c>
      <c r="H64" s="35">
        <v>5000</v>
      </c>
      <c r="I64" s="35">
        <v>1.07</v>
      </c>
      <c r="J64" s="35">
        <f t="shared" si="3"/>
        <v>5350</v>
      </c>
    </row>
    <row r="65" ht="16.5" spans="1:10">
      <c r="A65" s="28"/>
      <c r="B65" s="29"/>
      <c r="C65" s="29"/>
      <c r="D65" s="73"/>
      <c r="E65" s="29"/>
      <c r="F65" s="76"/>
      <c r="G65" s="35" t="s">
        <v>69</v>
      </c>
      <c r="H65" s="35">
        <f>H64*0.01</f>
        <v>50</v>
      </c>
      <c r="I65" s="35">
        <v>0</v>
      </c>
      <c r="J65" s="35">
        <f t="shared" si="3"/>
        <v>0</v>
      </c>
    </row>
    <row r="66" ht="16.5" spans="1:10">
      <c r="A66" s="28"/>
      <c r="B66" s="29"/>
      <c r="C66" s="29"/>
      <c r="D66" s="73"/>
      <c r="E66" s="29"/>
      <c r="F66" s="76"/>
      <c r="G66" s="35" t="s">
        <v>72</v>
      </c>
      <c r="H66" s="35">
        <v>5000</v>
      </c>
      <c r="I66" s="35">
        <v>0.28</v>
      </c>
      <c r="J66" s="35">
        <f t="shared" si="3"/>
        <v>1400</v>
      </c>
    </row>
    <row r="67" ht="16.5" spans="1:10">
      <c r="A67" s="28"/>
      <c r="B67" s="29"/>
      <c r="C67" s="29"/>
      <c r="D67" s="73"/>
      <c r="E67" s="29"/>
      <c r="F67" s="76"/>
      <c r="G67" s="35" t="s">
        <v>22</v>
      </c>
      <c r="H67" s="35">
        <v>5000</v>
      </c>
      <c r="I67" s="35">
        <v>0.11</v>
      </c>
      <c r="J67" s="35">
        <f t="shared" si="3"/>
        <v>550</v>
      </c>
    </row>
    <row r="68" ht="16.5" spans="1:10">
      <c r="A68" s="28"/>
      <c r="B68" s="29"/>
      <c r="C68" s="29"/>
      <c r="D68" s="73"/>
      <c r="E68" s="29"/>
      <c r="F68" s="76"/>
      <c r="G68" s="35" t="s">
        <v>106</v>
      </c>
      <c r="H68" s="35">
        <f>5000*4</f>
        <v>20000</v>
      </c>
      <c r="I68" s="35">
        <v>0.042</v>
      </c>
      <c r="J68" s="35">
        <f t="shared" si="3"/>
        <v>840</v>
      </c>
    </row>
    <row r="69" ht="16.5" spans="1:10">
      <c r="A69" s="28"/>
      <c r="B69" s="29"/>
      <c r="C69" s="29"/>
      <c r="D69" s="73"/>
      <c r="E69" s="29"/>
      <c r="F69" s="76"/>
      <c r="G69" s="35" t="s">
        <v>110</v>
      </c>
      <c r="H69" s="35">
        <v>43260</v>
      </c>
      <c r="I69" s="35">
        <v>0.33</v>
      </c>
      <c r="J69" s="35">
        <f t="shared" si="3"/>
        <v>14275.8</v>
      </c>
    </row>
    <row r="70" ht="16.5" spans="1:10">
      <c r="A70" s="28">
        <v>45761</v>
      </c>
      <c r="B70" s="29" t="s">
        <v>190</v>
      </c>
      <c r="C70" s="29" t="s">
        <v>194</v>
      </c>
      <c r="D70" s="73" t="s">
        <v>195</v>
      </c>
      <c r="E70" s="29" t="s">
        <v>196</v>
      </c>
      <c r="F70" s="67" t="s">
        <v>197</v>
      </c>
      <c r="G70" s="34" t="s">
        <v>22</v>
      </c>
      <c r="H70" s="77">
        <f>38000*0.01</f>
        <v>380</v>
      </c>
      <c r="I70" s="34">
        <v>0.11</v>
      </c>
      <c r="J70" s="34">
        <f t="shared" si="3"/>
        <v>41.8</v>
      </c>
    </row>
    <row r="71" ht="16.5" spans="1:10">
      <c r="A71" s="28"/>
      <c r="B71" s="29"/>
      <c r="C71" s="29"/>
      <c r="D71" s="73"/>
      <c r="E71" s="29"/>
      <c r="F71" s="70"/>
      <c r="G71" s="35" t="s">
        <v>198</v>
      </c>
      <c r="H71" s="77">
        <f>38000*0.01*4</f>
        <v>1520</v>
      </c>
      <c r="I71" s="34">
        <v>0.042</v>
      </c>
      <c r="J71" s="34">
        <f t="shared" si="3"/>
        <v>63.84</v>
      </c>
    </row>
    <row r="72" ht="16.5" spans="1:10">
      <c r="A72" s="28"/>
      <c r="B72" s="29"/>
      <c r="C72" s="29"/>
      <c r="D72" s="73"/>
      <c r="E72" s="29"/>
      <c r="F72" s="70"/>
      <c r="G72" s="34" t="s">
        <v>199</v>
      </c>
      <c r="H72" s="77">
        <v>1935</v>
      </c>
      <c r="I72" s="34">
        <v>0.85</v>
      </c>
      <c r="J72" s="34">
        <f t="shared" si="3"/>
        <v>1644.75</v>
      </c>
    </row>
    <row r="73" ht="16.5" spans="1:10">
      <c r="A73" s="28"/>
      <c r="B73" s="29"/>
      <c r="C73" s="29"/>
      <c r="D73" s="73"/>
      <c r="E73" s="29"/>
      <c r="F73" s="70"/>
      <c r="G73" s="34" t="s">
        <v>200</v>
      </c>
      <c r="H73" s="35">
        <v>19</v>
      </c>
      <c r="I73" s="34">
        <v>0</v>
      </c>
      <c r="J73" s="34">
        <f t="shared" si="3"/>
        <v>0</v>
      </c>
    </row>
    <row r="74" ht="16.5" spans="1:10">
      <c r="A74" s="28"/>
      <c r="B74" s="29"/>
      <c r="C74" s="29"/>
      <c r="D74" s="73"/>
      <c r="E74" s="29"/>
      <c r="F74" s="71"/>
      <c r="G74" s="35" t="s">
        <v>137</v>
      </c>
      <c r="H74" s="77">
        <f>48+105+135+90+45</f>
        <v>423</v>
      </c>
      <c r="I74" s="34">
        <v>0.15</v>
      </c>
      <c r="J74" s="34">
        <f t="shared" si="3"/>
        <v>63.45</v>
      </c>
    </row>
    <row r="75" ht="16.5" spans="1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1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s="1" customFormat="1" ht="16.5" spans="1:11">
      <c r="A3" s="44">
        <v>45642</v>
      </c>
      <c r="B3" s="34" t="s">
        <v>201</v>
      </c>
      <c r="C3" s="29">
        <v>17476</v>
      </c>
      <c r="D3" s="45" t="s">
        <v>202</v>
      </c>
      <c r="E3" s="46" t="s">
        <v>203</v>
      </c>
      <c r="F3" s="47" t="s">
        <v>204</v>
      </c>
      <c r="G3" s="35" t="s">
        <v>205</v>
      </c>
      <c r="H3" s="35">
        <v>5400</v>
      </c>
      <c r="I3" s="48">
        <v>0.195</v>
      </c>
      <c r="J3" s="35">
        <f>H3*I3</f>
        <v>1053</v>
      </c>
      <c r="K3" s="36"/>
    </row>
    <row r="4" s="1" customFormat="1" ht="16.5" spans="1:11">
      <c r="A4" s="40"/>
      <c r="B4"/>
      <c r="C4" s="24"/>
      <c r="D4"/>
      <c r="E4" s="41"/>
      <c r="F4" s="42"/>
      <c r="G4"/>
      <c r="H4"/>
      <c r="I4" s="43" t="s">
        <v>49</v>
      </c>
      <c r="J4" s="43">
        <f>SUM(J3:J3)</f>
        <v>1053</v>
      </c>
    </row>
    <row r="5" spans="1:11">
      <c r="A5" s="41"/>
      <c r="F5" s="36"/>
    </row>
    <row r="7" ht="28.5" spans="1:11">
      <c r="A7" s="49" t="s">
        <v>158</v>
      </c>
      <c r="B7" s="49"/>
      <c r="C7" s="49"/>
      <c r="D7" s="49"/>
      <c r="E7" s="49"/>
      <c r="F7" s="49"/>
      <c r="G7" s="49"/>
      <c r="H7" s="49"/>
      <c r="I7" s="49"/>
      <c r="J7" s="49"/>
    </row>
    <row r="8" ht="14.5" spans="1:11">
      <c r="A8" s="50" t="s">
        <v>159</v>
      </c>
      <c r="B8" s="50" t="s">
        <v>160</v>
      </c>
      <c r="C8" s="50" t="s">
        <v>161</v>
      </c>
      <c r="D8" s="50" t="s">
        <v>162</v>
      </c>
      <c r="E8" s="50" t="s">
        <v>163</v>
      </c>
      <c r="F8" s="51" t="s">
        <v>164</v>
      </c>
      <c r="G8" s="50" t="s">
        <v>165</v>
      </c>
      <c r="H8" s="50" t="s">
        <v>166</v>
      </c>
      <c r="I8" s="50" t="s">
        <v>167</v>
      </c>
      <c r="J8" s="50" t="s">
        <v>168</v>
      </c>
    </row>
    <row r="9" ht="28.5" spans="1:11">
      <c r="A9" s="50"/>
      <c r="B9" s="50"/>
      <c r="C9" s="50"/>
      <c r="D9" s="50" t="s">
        <v>169</v>
      </c>
      <c r="E9" s="50"/>
      <c r="F9" s="51" t="s">
        <v>170</v>
      </c>
      <c r="G9" s="50"/>
      <c r="H9" s="50"/>
      <c r="I9" s="52" t="s">
        <v>171</v>
      </c>
      <c r="J9" s="50"/>
    </row>
    <row r="10" ht="28" spans="1:11">
      <c r="A10" s="52">
        <v>1</v>
      </c>
      <c r="B10" s="53">
        <v>45747</v>
      </c>
      <c r="C10" s="50" t="s">
        <v>172</v>
      </c>
      <c r="D10" s="50" t="s">
        <v>206</v>
      </c>
      <c r="E10" s="50" t="s">
        <v>207</v>
      </c>
      <c r="F10" s="50" t="s">
        <v>208</v>
      </c>
      <c r="G10" s="50" t="s">
        <v>209</v>
      </c>
      <c r="H10" s="50">
        <v>5400</v>
      </c>
      <c r="I10" s="54">
        <v>1053</v>
      </c>
      <c r="J10" s="50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spans="1:11">
      <c r="A3" s="28">
        <v>45700</v>
      </c>
      <c r="B3" s="29" t="s">
        <v>39</v>
      </c>
      <c r="C3" s="29" t="s">
        <v>64</v>
      </c>
      <c r="D3" s="30" t="s">
        <v>65</v>
      </c>
      <c r="E3" s="29" t="s">
        <v>66</v>
      </c>
      <c r="F3" s="31" t="s">
        <v>67</v>
      </c>
      <c r="G3" s="32" t="s">
        <v>68</v>
      </c>
      <c r="H3" s="33">
        <v>8782</v>
      </c>
      <c r="I3" s="34">
        <v>1.07</v>
      </c>
      <c r="J3" s="35">
        <f>H3*I3</f>
        <v>9396.74</v>
      </c>
      <c r="K3" s="36"/>
    </row>
    <row r="4" s="1" customFormat="1" ht="16.5" spans="1:11">
      <c r="A4" s="28"/>
      <c r="B4" s="29"/>
      <c r="C4" s="29"/>
      <c r="D4" s="30"/>
      <c r="E4" s="29"/>
      <c r="F4" s="37"/>
      <c r="G4" s="32" t="s">
        <v>69</v>
      </c>
      <c r="H4" s="33">
        <f>H6*0.01</f>
        <v>85.26</v>
      </c>
      <c r="I4" s="34">
        <v>0</v>
      </c>
      <c r="J4" s="35">
        <f>H4*I4</f>
        <v>0</v>
      </c>
      <c r="K4" s="36"/>
    </row>
    <row r="5" s="1" customFormat="1" ht="16.5" spans="1:11">
      <c r="A5" s="28"/>
      <c r="B5" s="29"/>
      <c r="C5" s="29"/>
      <c r="D5" s="30"/>
      <c r="E5" s="29"/>
      <c r="F5" s="38"/>
      <c r="G5" s="32" t="s">
        <v>70</v>
      </c>
      <c r="H5" s="33">
        <f>20+5+5</f>
        <v>30</v>
      </c>
      <c r="I5" s="34">
        <v>0</v>
      </c>
      <c r="J5" s="35">
        <f>H5*I5</f>
        <v>0</v>
      </c>
      <c r="K5" s="36"/>
    </row>
    <row r="6" s="1" customFormat="1" ht="16.5" spans="1:11">
      <c r="A6" s="28"/>
      <c r="B6" s="29"/>
      <c r="C6" s="29"/>
      <c r="D6" s="30"/>
      <c r="E6" s="29"/>
      <c r="F6" s="39" t="s">
        <v>71</v>
      </c>
      <c r="G6" s="32" t="s">
        <v>72</v>
      </c>
      <c r="H6" s="34">
        <f>3500+2500+2500+26</f>
        <v>8526</v>
      </c>
      <c r="I6" s="34">
        <v>0.28</v>
      </c>
      <c r="J6" s="35">
        <f>H6*I6</f>
        <v>2387.28</v>
      </c>
      <c r="K6" s="36"/>
    </row>
    <row r="7" s="1" customFormat="1" ht="16.5" spans="1:11">
      <c r="A7" s="28"/>
      <c r="B7" s="29"/>
      <c r="C7" s="29"/>
      <c r="D7" s="30"/>
      <c r="E7" s="29"/>
      <c r="F7" s="39" t="s">
        <v>71</v>
      </c>
      <c r="G7" s="32" t="s">
        <v>73</v>
      </c>
      <c r="H7" s="34">
        <f>250+175</f>
        <v>425</v>
      </c>
      <c r="I7" s="34">
        <v>0.042</v>
      </c>
      <c r="J7" s="35">
        <f>H7*I7</f>
        <v>17.85</v>
      </c>
      <c r="K7" s="36"/>
    </row>
    <row r="8" s="1" customFormat="1" ht="16.5" spans="1:11">
      <c r="A8" s="40"/>
      <c r="B8"/>
      <c r="C8" s="24"/>
      <c r="D8"/>
      <c r="E8" s="41"/>
      <c r="F8" s="42"/>
      <c r="G8"/>
      <c r="H8"/>
      <c r="I8" s="43" t="s">
        <v>49</v>
      </c>
      <c r="J8" s="43">
        <f>SUM(J3:J7)</f>
        <v>11801.87</v>
      </c>
      <c r="K8"/>
    </row>
    <row r="9" spans="1:11">
      <c r="A9" s="41"/>
      <c r="F9" s="36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210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211</v>
      </c>
      <c r="B2" s="5" t="s">
        <v>212</v>
      </c>
      <c r="C2" s="5" t="s">
        <v>213</v>
      </c>
      <c r="D2" s="6" t="s">
        <v>4</v>
      </c>
      <c r="E2" s="5" t="s">
        <v>214</v>
      </c>
      <c r="F2" s="7" t="s">
        <v>215</v>
      </c>
      <c r="G2" s="8" t="s">
        <v>216</v>
      </c>
      <c r="H2" s="9" t="s">
        <v>217</v>
      </c>
      <c r="I2" s="10" t="s">
        <v>51</v>
      </c>
    </row>
    <row r="3" s="1" customFormat="1" ht="16" customHeight="1" spans="1:9">
      <c r="A3" s="11">
        <v>45404</v>
      </c>
      <c r="B3" s="12" t="s">
        <v>15</v>
      </c>
      <c r="C3" s="13" t="s">
        <v>218</v>
      </c>
      <c r="D3" s="14" t="s">
        <v>219</v>
      </c>
      <c r="E3" s="13" t="s">
        <v>220</v>
      </c>
      <c r="F3" s="15" t="s">
        <v>221</v>
      </c>
      <c r="G3" s="15">
        <v>32500</v>
      </c>
      <c r="H3" s="15">
        <v>0.13</v>
      </c>
      <c r="I3" s="15">
        <f t="shared" ref="I3:I9" si="0">G3*H3</f>
        <v>4225</v>
      </c>
    </row>
    <row r="4" s="1" customFormat="1" ht="16" customHeight="1" spans="1:9">
      <c r="A4" s="16"/>
      <c r="B4" s="17"/>
      <c r="C4" s="18"/>
      <c r="D4" s="19"/>
      <c r="E4" s="18"/>
      <c r="F4" s="15" t="s">
        <v>222</v>
      </c>
      <c r="G4" s="15">
        <f>G3*4</f>
        <v>130000</v>
      </c>
      <c r="H4" s="15">
        <v>0.042</v>
      </c>
      <c r="I4" s="15">
        <f t="shared" si="0"/>
        <v>5460</v>
      </c>
    </row>
    <row r="5" s="1" customFormat="1" ht="16" customHeight="1" spans="1:9">
      <c r="A5" s="16"/>
      <c r="B5" s="17"/>
      <c r="C5" s="18"/>
      <c r="D5" s="19"/>
      <c r="E5" s="18"/>
      <c r="F5" s="20" t="s">
        <v>223</v>
      </c>
      <c r="G5" s="20">
        <v>32500</v>
      </c>
      <c r="H5" s="20">
        <v>0.03</v>
      </c>
      <c r="I5" s="20">
        <f t="shared" si="0"/>
        <v>975</v>
      </c>
    </row>
    <row r="6" s="1" customFormat="1" ht="16" customHeight="1" spans="1:9">
      <c r="A6" s="16"/>
      <c r="B6" s="17"/>
      <c r="C6" s="18"/>
      <c r="D6" s="19"/>
      <c r="E6" s="18"/>
      <c r="F6" s="20" t="s">
        <v>224</v>
      </c>
      <c r="G6" s="20">
        <v>32500</v>
      </c>
      <c r="H6" s="20">
        <v>0.25</v>
      </c>
      <c r="I6" s="20">
        <f t="shared" si="0"/>
        <v>8125</v>
      </c>
    </row>
    <row r="7" s="1" customFormat="1" ht="16" customHeight="1" spans="1:9">
      <c r="A7" s="16"/>
      <c r="B7" s="17"/>
      <c r="C7" s="18"/>
      <c r="D7" s="19"/>
      <c r="E7" s="18"/>
      <c r="F7" s="20" t="s">
        <v>21</v>
      </c>
      <c r="G7" s="20">
        <v>32500</v>
      </c>
      <c r="H7" s="20">
        <v>0.294</v>
      </c>
      <c r="I7" s="20">
        <f t="shared" si="0"/>
        <v>9555</v>
      </c>
    </row>
    <row r="8" s="1" customFormat="1" ht="16" customHeight="1" spans="1:9">
      <c r="A8" s="16"/>
      <c r="B8" s="17"/>
      <c r="C8" s="18"/>
      <c r="D8" s="19"/>
      <c r="E8" s="18"/>
      <c r="F8" s="20" t="s">
        <v>182</v>
      </c>
      <c r="G8" s="20">
        <v>32500</v>
      </c>
      <c r="H8" s="20">
        <v>0</v>
      </c>
      <c r="I8" s="20">
        <f t="shared" si="0"/>
        <v>0</v>
      </c>
    </row>
    <row r="9" s="1" customFormat="1" ht="16" customHeight="1" spans="1:9">
      <c r="A9" s="16"/>
      <c r="B9" s="17"/>
      <c r="C9" s="18"/>
      <c r="D9" s="19"/>
      <c r="E9" s="18"/>
      <c r="F9" s="20" t="s">
        <v>22</v>
      </c>
      <c r="G9" s="20">
        <v>32500</v>
      </c>
      <c r="H9" s="20">
        <v>0.116</v>
      </c>
      <c r="I9" s="20">
        <f t="shared" si="0"/>
        <v>3770</v>
      </c>
    </row>
    <row r="10" s="1" customFormat="1" ht="17.5" spans="1:9">
      <c r="A10" s="21" t="s">
        <v>49</v>
      </c>
      <c r="B10" s="21"/>
      <c r="C10" s="21"/>
      <c r="D10" s="21"/>
      <c r="E10" s="21"/>
      <c r="F10" s="21"/>
      <c r="G10" s="21"/>
      <c r="H10" s="21"/>
      <c r="I10" s="22">
        <f>SUM(I3:I9)</f>
        <v>32110</v>
      </c>
    </row>
    <row r="11" s="1" customFormat="1" ht="17.5" spans="1:9">
      <c r="A11" s="23"/>
      <c r="B11" s="23"/>
      <c r="C11" s="23"/>
      <c r="D11" s="23"/>
      <c r="E11" s="23"/>
      <c r="F11" s="23"/>
      <c r="G11" s="23"/>
      <c r="H11" s="23"/>
      <c r="I11" s="23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2024-5月-7月-已开票</vt:lpstr>
      <vt:lpstr>4月Adela-国内</vt:lpstr>
      <vt:lpstr>4月Adela-孟加拉</vt:lpstr>
      <vt:lpstr>11月Emily-人民币</vt:lpstr>
      <vt:lpstr>11月Emily-美金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2025-12-25T09:39:20Z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9FAAFD8B5014488185594E6492FB333D_13</vt:lpwstr>
  </property>
</Properties>
</file>