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5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10月Emily-人民币" sheetId="31" r:id="rId4"/>
    <sheet name="10月Emily-人民币 (2)" sheetId="32" r:id="rId5"/>
    <sheet name="10月Emily-美金" sheetId="30" r:id="rId6"/>
    <sheet name="4月Adela (2)" sheetId="28" state="hidden" r:id="rId7"/>
    <sheet name="12月miranda" sheetId="24" state="hidden" r:id="rId8"/>
    <sheet name="对账单" sheetId="26" state="hidden" r:id="rId9"/>
    <sheet name="4月已开票" sheetId="21" state="hidden" r:id="rId10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'10月Emily-人民币'!$A$1:$J$52</definedName>
    <definedName name="_xlnm._FilterDatabase" localSheetId="4" hidden="1">'10月Emily-人民币 (2)'!$A$1:$J$52</definedName>
    <definedName name="_xlnm._FilterDatabase" localSheetId="5" hidden="1">'10月Emily-美金'!$A$1:$J$30</definedName>
    <definedName name="_xlnm._FilterDatabase" localSheetId="6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<sst xmlns="http://schemas.openxmlformats.org/spreadsheetml/2006/main" count="807" uniqueCount="271">
  <si>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</si>
  <si>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</si>
  <si>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</si>
  <si>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</si>
  <si>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</si>
  <si>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</si>
  <si>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</si>
  <si>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</si>
  <si>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</si>
  <si>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</si>
  <si>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</si>
  <si>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</si>
  <si>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</si>
  <si>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</si>
  <si>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</si>
  <si>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</si>
  <si>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</si>
  <si>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</si>
  <si>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</si>
  <si>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</si>
  <si>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</si>
  <si>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</si>
  <si>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</si>
  <si>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</si>
  <si>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</si>
  <si>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</si>
  <si>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</si>
  <si>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</si>
  <si>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</si>
  <si>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</si>
  <si>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</si>
  <si>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</si>
  <si>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</si>
  <si>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</si>
  <si>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</si>
  <si>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</si>
  <si>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</si>
  <si>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</si>
  <si>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</si>
  <si>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</si>
  <si>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</si>
  <si>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</si>
  <si>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</si>
  <si>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</si>
  <si>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</si>
  <si>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</si>
  <si>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</si>
  <si>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</si>
  <si>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</si>
  <si>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</si>
  <si>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</si>
  <si>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</si>
  <si>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</si>
  <si>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</si>
  <si>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</si>
  <si>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</si>
  <si>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</si>
  <si>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</si>
  <si>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</si>
  <si>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</si>
  <si>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</si>
  <si>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</si>
  <si>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</si>
  <si>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</si>
  <si>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</si>
  <si>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</si>
  <si>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</si>
  <si>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</si>
  <si>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</si>
  <si>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</si>
  <si>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</si>
  <si>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</si>
  <si>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</si>
  <si>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</si>
  <si>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</si>
  <si>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</si>
  <si>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</si>
  <si>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</si>
  <si>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</si>
  <si>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</si>
  <si>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</si>
  <si>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</si>
  <si>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</si>
  <si>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</si>
  <si>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</si>
  <si>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</si>
  <si>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</si>
  <si>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</si>
  <si>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</si>
  <si>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</si>
  <si>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</si>
  <si>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</si>
  <si>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</si>
  <si>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</si>
  <si>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</si>
  <si>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</si>
  <si>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</si>
  <si>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</si>
  <si>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</si>
  <si>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</si>
  <si>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</si>
  <si>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</si>
  <si>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</si>
  <si>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</si>
  <si>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</si>
  <si>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</si>
  <si>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</si>
  <si>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</si>
  <si>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</si>
  <si>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</si>
  <si>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</si>
  <si>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</si>
  <si>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</si>
  <si>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</si>
  <si>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</si>
  <si>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</si>
  <si>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</si>
  <si>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</si>
  <si>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88080
88243</t>
  </si>
  <si>
    <t>RBSKNJTD082</t>
  </si>
  <si>
    <t>MISO 6776-046-600/800
BANGLADESH 男上装 夹克 翻单5</t>
  </si>
  <si>
    <t>88242
88244</t>
  </si>
  <si>
    <t>RBSKNJTD083</t>
  </si>
  <si>
    <t>MISO 6776-777-250
BANGLADESH 男上装 夹克</t>
  </si>
  <si>
    <t>RBSKNJTD084</t>
  </si>
  <si>
    <t>PANTHER 5424-046-829/711
Cambodia 男裤子 翻单1</t>
  </si>
  <si>
    <t>腰卡（WTBCGEN225）-88*82mmSUPER BAGGY</t>
  </si>
  <si>
    <t>白色缎带洗标CLBCGEN003*4页-60*25mm</t>
  </si>
  <si>
    <t>缎带BSK警告标  ADBCGEN002-120*55mm</t>
  </si>
  <si>
    <t>白色RFID织标WLBCRFI011-85*20mm</t>
  </si>
  <si>
    <t>白色RFID织标WLBCRFI011-85*20mm-免费损耗1%</t>
  </si>
  <si>
    <t>RBSKNJTD085</t>
  </si>
  <si>
    <t>PANTHER 5424-046-829/711
Cambodia 男裤子 翻单2</t>
  </si>
  <si>
    <t>40371
40373
40469
40470</t>
  </si>
  <si>
    <t>RBSKNJTD089</t>
  </si>
  <si>
    <t>NONPOINT 0803-046-605/800
BANGLADESH 男上棉衣</t>
  </si>
  <si>
    <t>黑色织标WLBCRFI006-51*51mm-RFID</t>
  </si>
  <si>
    <t>黑色织标WLBCRFI006-51*51mm-免费损耗1%</t>
  </si>
  <si>
    <t>黑色织标WLBCRFI006-51*51mm-大货样</t>
  </si>
  <si>
    <t>灰旗织标BKWOL25009-36*18mm</t>
  </si>
  <si>
    <t>RBSKNJTD092</t>
  </si>
  <si>
    <t>PANTHER 5424-046
Cambodia 男裤子 补单2</t>
  </si>
  <si>
    <t>白色RFID织标WLBCRFI011-85*20mm-42码</t>
  </si>
  <si>
    <t>40637
40647
40649</t>
  </si>
  <si>
    <t>RBSKNJTD098</t>
  </si>
  <si>
    <t>CLUBBING 1089-046-800/717
China 男士衬衫</t>
  </si>
  <si>
    <t>白色RFID织标WLBCRFI013-65*20mm</t>
  </si>
  <si>
    <t>白色RFID织标WLBCRFI013-65*20mm-免费损耗1%</t>
  </si>
  <si>
    <t>白色RFID织标WLBCRFI013-65*20mm-大货样</t>
  </si>
  <si>
    <t>空白标BKKBXM24002（60*25mm）</t>
  </si>
  <si>
    <t>6776-046款差额</t>
  </si>
  <si>
    <t>少开金额</t>
  </si>
  <si>
    <t>5419-046款差额</t>
  </si>
  <si>
    <t>多开金额</t>
  </si>
  <si>
    <t>6793-046款差额</t>
  </si>
  <si>
    <t>5420-046款差额</t>
  </si>
  <si>
    <t>5424-046款差额</t>
  </si>
  <si>
    <t>6412-046款差额</t>
  </si>
  <si>
    <t>共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</si>
  <si>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</si>
  <si>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</si>
  <si>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</si>
  <si>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</si>
  <si>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</si>
  <si>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</si>
  <si>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</si>
  <si>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</si>
  <si>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</si>
  <si>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</si>
  <si>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</si>
  <si>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</si>
  <si>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</si>
  <si>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</si>
  <si>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</si>
  <si>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</si>
  <si>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</si>
  <si>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5424-046</t>
  </si>
  <si>
    <t>6776-046</t>
  </si>
  <si>
    <t>6776-046、6776-777</t>
  </si>
  <si>
    <t>12/25申请开票</t>
  </si>
  <si>
    <t>主标</t>
  </si>
  <si>
    <t>千克</t>
  </si>
  <si>
    <t>洗唛</t>
  </si>
  <si>
    <t>织标</t>
  </si>
  <si>
    <t>吊牌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</si>
  <si>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</si>
  <si>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</si>
  <si>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</si>
  <si>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</si>
  <si>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</si>
  <si>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销账数量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</si>
  <si>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</si>
  <si>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</si>
  <si>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</si>
  <si>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</si>
  <si>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RBSKNJTD049</t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</si>
  <si>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</si>
  <si>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</si>
  <si>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</si>
  <si>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</si>
  <si>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</si>
  <si>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</si>
  <si>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</si>
  <si>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</si>
  <si>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</si>
  <si>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白色缎带洗标CLBCGEN003*4页-60*25mm-711色</t>
  </si>
  <si>
    <t>2025.7.31</t>
  </si>
  <si>
    <t>2025.8.6</t>
  </si>
  <si>
    <t>2025.8.7</t>
  </si>
  <si>
    <t>2025.8.13</t>
  </si>
  <si>
    <t>2025.6.23</t>
  </si>
  <si>
    <t>补单</t>
  </si>
  <si>
    <t>RBSKNJTD071</t>
  </si>
  <si>
    <t>MISO 6776-046-800
BANGLADESH 男上装 夹克 翻单4</t>
  </si>
  <si>
    <t>RBSKNJTD086</t>
  </si>
  <si>
    <t>PANTHER 5424-046-829 
Cambodia 男裤子 补单</t>
  </si>
  <si>
    <t>2025.9.3</t>
  </si>
  <si>
    <t>白色缎带洗标CLBCGEN003*1页-60*25mm-829色洗标第一页</t>
  </si>
  <si>
    <t>2025.9.12</t>
  </si>
  <si>
    <t>RBSKNJTD0101</t>
  </si>
  <si>
    <t>PANTHER 5424-046-829
Cambodia 男裤子 补单3</t>
  </si>
  <si>
    <r>
      <rPr>
        <sz val="11"/>
        <rFont val="微软雅黑"/>
        <charset val="134"/>
      </rPr>
      <t>40371
40373
40469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40470</t>
    </r>
  </si>
  <si>
    <t>RBSKNJTD0102</t>
  </si>
  <si>
    <t>NONPOINT 0803-046-605/800
BANGLADESH 男上棉衣 补单</t>
  </si>
  <si>
    <t>2025/11/5
2025/11/6
2025/11/8
2025/11/11</t>
  </si>
  <si>
    <t>价格贴：红 BKSKR24002 蓝 BKSKR24001</t>
  </si>
  <si>
    <t>白色吊牌HPBCRFI001-60*95mm-RFID LOGO-1%损耗</t>
  </si>
  <si>
    <t>11月美金</t>
  </si>
  <si>
    <t>43319
43320</t>
  </si>
  <si>
    <t>RBSKNJTD0107</t>
  </si>
  <si>
    <t>NABO 1332-046-205
BANGLADESH 男夹克</t>
  </si>
  <si>
    <t>白色缎带洗标CLBCGEN003*4页-60*25mm（1%损耗）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</si>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</sst>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10" borderId="15" applyNumberFormat="0" applyAlignment="0" applyProtection="0">
      <alignment vertical="center"/>
    </xf>
    <xf numFmtId="0" fontId="31" fillId="10" borderId="14" applyNumberFormat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179" fontId="0" fillId="0" borderId="0" xfId="0" applyNumberForma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179" fontId="19" fillId="0" borderId="0" xfId="0" applyNumberFormat="1" applyFo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9" fontId="6" fillId="4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58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8" fontId="15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58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5" fillId="0" borderId="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8" fontId="15" fillId="0" borderId="10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41">
        <v>45439</v>
      </c>
      <c r="B3" s="15" t="s">
        <v>15</v>
      </c>
      <c r="C3" s="142">
        <v>54401</v>
      </c>
      <c r="D3" s="143" t="s">
        <v>16</v>
      </c>
      <c r="E3" s="142" t="s">
        <v>17</v>
      </c>
      <c r="F3" s="142" t="s">
        <v>18</v>
      </c>
      <c r="G3" s="144">
        <v>10500</v>
      </c>
      <c r="H3" s="144">
        <f t="shared" ref="H3:H32" si="0">G3-I3</f>
        <v>500</v>
      </c>
      <c r="I3" s="142">
        <v>10000</v>
      </c>
      <c r="J3" s="20">
        <v>0.368</v>
      </c>
      <c r="K3" s="145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41"/>
      <c r="B4" s="15"/>
      <c r="C4" s="142"/>
      <c r="D4" s="143"/>
      <c r="E4" s="142"/>
      <c r="F4" s="146">
        <v>45476</v>
      </c>
      <c r="G4" s="144">
        <v>11582</v>
      </c>
      <c r="H4" s="144">
        <f t="shared" si="0"/>
        <v>554</v>
      </c>
      <c r="I4" s="142">
        <v>11028</v>
      </c>
      <c r="J4" s="20">
        <v>0.368</v>
      </c>
      <c r="K4" s="145">
        <f t="shared" si="1"/>
        <v>4058.304</v>
      </c>
      <c r="L4" s="147"/>
      <c r="M4" s="20"/>
      <c r="N4" s="20"/>
      <c r="O4" s="20"/>
    </row>
    <row r="5" ht="16.5" spans="1:15">
      <c r="A5" s="141"/>
      <c r="B5" s="15"/>
      <c r="C5" s="142"/>
      <c r="D5" s="143"/>
      <c r="E5" s="142"/>
      <c r="F5" s="142" t="s">
        <v>18</v>
      </c>
      <c r="G5" s="144">
        <v>10500</v>
      </c>
      <c r="H5" s="144">
        <f t="shared" si="0"/>
        <v>500</v>
      </c>
      <c r="I5" s="142">
        <v>10000</v>
      </c>
      <c r="J5" s="15">
        <f>0.042*8</f>
        <v>0.336</v>
      </c>
      <c r="K5" s="145">
        <f t="shared" si="1"/>
        <v>3360</v>
      </c>
      <c r="L5" s="145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41"/>
      <c r="B6" s="15"/>
      <c r="C6" s="142"/>
      <c r="D6" s="143"/>
      <c r="E6" s="142"/>
      <c r="F6" s="146">
        <v>45476</v>
      </c>
      <c r="G6" s="144">
        <v>11583</v>
      </c>
      <c r="H6" s="144">
        <f t="shared" si="0"/>
        <v>555</v>
      </c>
      <c r="I6" s="142">
        <v>11028</v>
      </c>
      <c r="J6" s="15">
        <f>0.042*8</f>
        <v>0.336</v>
      </c>
      <c r="K6" s="145">
        <f t="shared" si="1"/>
        <v>3705.408</v>
      </c>
      <c r="L6" s="148"/>
      <c r="M6" s="20"/>
      <c r="N6" s="20"/>
      <c r="O6" s="20"/>
    </row>
    <row r="7" ht="16" customHeight="1" spans="1:15">
      <c r="A7" s="141"/>
      <c r="B7" s="15"/>
      <c r="C7" s="142"/>
      <c r="D7" s="143"/>
      <c r="E7" s="142"/>
      <c r="F7" s="146">
        <v>45476</v>
      </c>
      <c r="G7" s="144">
        <v>22079.4</v>
      </c>
      <c r="H7" s="144">
        <f t="shared" si="0"/>
        <v>1051.4</v>
      </c>
      <c r="I7" s="142">
        <v>21028</v>
      </c>
      <c r="J7" s="20">
        <v>0.294</v>
      </c>
      <c r="K7" s="145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41"/>
      <c r="B8" s="15"/>
      <c r="C8" s="142"/>
      <c r="D8" s="143"/>
      <c r="E8" s="142"/>
      <c r="F8" s="146">
        <v>45476</v>
      </c>
      <c r="G8" s="144">
        <v>22079.4</v>
      </c>
      <c r="H8" s="144">
        <f t="shared" si="0"/>
        <v>1051.4</v>
      </c>
      <c r="I8" s="142">
        <v>21028</v>
      </c>
      <c r="J8" s="20">
        <v>0.116</v>
      </c>
      <c r="K8" s="145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41">
        <v>45439</v>
      </c>
      <c r="B9" s="15" t="s">
        <v>15</v>
      </c>
      <c r="C9" s="142">
        <v>54404</v>
      </c>
      <c r="D9" s="143" t="s">
        <v>23</v>
      </c>
      <c r="E9" s="142" t="s">
        <v>24</v>
      </c>
      <c r="F9" s="146">
        <v>45470</v>
      </c>
      <c r="G9" s="144">
        <f>I9*1.05</f>
        <v>31500</v>
      </c>
      <c r="H9" s="144">
        <f t="shared" si="0"/>
        <v>1500</v>
      </c>
      <c r="I9" s="142">
        <v>30000</v>
      </c>
      <c r="J9" s="20">
        <v>0.368</v>
      </c>
      <c r="K9" s="145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41"/>
      <c r="B10" s="15"/>
      <c r="C10" s="142"/>
      <c r="D10" s="143"/>
      <c r="E10" s="142"/>
      <c r="F10" s="146">
        <v>45476</v>
      </c>
      <c r="G10" s="144">
        <v>1605</v>
      </c>
      <c r="H10" s="144">
        <f t="shared" si="0"/>
        <v>79</v>
      </c>
      <c r="I10" s="142">
        <v>1526</v>
      </c>
      <c r="J10" s="20">
        <v>0.368</v>
      </c>
      <c r="K10" s="145">
        <f t="shared" si="1"/>
        <v>561.568</v>
      </c>
      <c r="L10" s="147"/>
      <c r="M10" s="20"/>
      <c r="N10" s="15"/>
      <c r="O10" s="20"/>
    </row>
    <row r="11" ht="16.5" spans="1:15">
      <c r="A11" s="141"/>
      <c r="B11" s="15"/>
      <c r="C11" s="142"/>
      <c r="D11" s="143"/>
      <c r="E11" s="142"/>
      <c r="F11" s="146">
        <v>45470</v>
      </c>
      <c r="G11" s="144">
        <f>I11*1.05</f>
        <v>31500</v>
      </c>
      <c r="H11" s="144">
        <f t="shared" si="0"/>
        <v>1500</v>
      </c>
      <c r="I11" s="142">
        <v>30000</v>
      </c>
      <c r="J11" s="15">
        <f>0.042*6</f>
        <v>0.252</v>
      </c>
      <c r="K11" s="145">
        <f t="shared" si="1"/>
        <v>7560</v>
      </c>
      <c r="L11" s="145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41"/>
      <c r="B12" s="15"/>
      <c r="C12" s="142"/>
      <c r="D12" s="143"/>
      <c r="E12" s="142"/>
      <c r="F12" s="146">
        <v>45476</v>
      </c>
      <c r="G12" s="144">
        <v>1607</v>
      </c>
      <c r="H12" s="144">
        <f t="shared" si="0"/>
        <v>81</v>
      </c>
      <c r="I12" s="142">
        <v>1526</v>
      </c>
      <c r="J12" s="15">
        <f>0.042*6</f>
        <v>0.252</v>
      </c>
      <c r="K12" s="145">
        <f t="shared" si="1"/>
        <v>384.552</v>
      </c>
      <c r="L12" s="148"/>
      <c r="M12" s="20"/>
      <c r="N12" s="20"/>
      <c r="O12" s="20"/>
    </row>
    <row r="13" ht="16" customHeight="1" spans="1:15">
      <c r="A13" s="141"/>
      <c r="B13" s="15"/>
      <c r="C13" s="142"/>
      <c r="D13" s="143"/>
      <c r="E13" s="142"/>
      <c r="F13" s="146">
        <v>45476</v>
      </c>
      <c r="G13" s="144">
        <v>33102</v>
      </c>
      <c r="H13" s="144">
        <f t="shared" si="0"/>
        <v>1576</v>
      </c>
      <c r="I13" s="142">
        <v>31526</v>
      </c>
      <c r="J13" s="20">
        <v>0.294</v>
      </c>
      <c r="K13" s="145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41"/>
      <c r="B14" s="15"/>
      <c r="C14" s="142"/>
      <c r="D14" s="143"/>
      <c r="E14" s="142"/>
      <c r="F14" s="146">
        <v>45476</v>
      </c>
      <c r="G14" s="144">
        <v>33102</v>
      </c>
      <c r="H14" s="144">
        <f t="shared" si="0"/>
        <v>1576</v>
      </c>
      <c r="I14" s="142">
        <v>31526</v>
      </c>
      <c r="J14" s="20">
        <v>0.116</v>
      </c>
      <c r="K14" s="145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41">
        <v>45477</v>
      </c>
      <c r="B15" s="15" t="s">
        <v>26</v>
      </c>
      <c r="C15" s="142">
        <v>58394</v>
      </c>
      <c r="D15" s="143" t="s">
        <v>27</v>
      </c>
      <c r="E15" s="142" t="s">
        <v>28</v>
      </c>
      <c r="F15" s="146">
        <v>45484</v>
      </c>
      <c r="G15" s="144">
        <f>I15*1.05</f>
        <v>771.75</v>
      </c>
      <c r="H15" s="144">
        <f t="shared" si="0"/>
        <v>36.75</v>
      </c>
      <c r="I15" s="142">
        <v>735</v>
      </c>
      <c r="J15" s="20">
        <v>0.254</v>
      </c>
      <c r="K15" s="145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41"/>
      <c r="B16" s="15"/>
      <c r="C16" s="142"/>
      <c r="D16" s="143"/>
      <c r="E16" s="142"/>
      <c r="F16" s="146">
        <v>45484</v>
      </c>
      <c r="G16" s="144">
        <f>I16*1.05</f>
        <v>771.75</v>
      </c>
      <c r="H16" s="144">
        <f t="shared" si="0"/>
        <v>36.75</v>
      </c>
      <c r="I16" s="142">
        <v>735</v>
      </c>
      <c r="J16" s="20">
        <v>0.15</v>
      </c>
      <c r="K16" s="145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41"/>
      <c r="B17" s="15"/>
      <c r="C17" s="142"/>
      <c r="D17" s="143"/>
      <c r="E17" s="142"/>
      <c r="F17" s="146">
        <v>45484</v>
      </c>
      <c r="G17" s="144">
        <v>2200</v>
      </c>
      <c r="H17" s="144">
        <f t="shared" si="0"/>
        <v>100</v>
      </c>
      <c r="I17" s="142">
        <v>2100</v>
      </c>
      <c r="J17" s="20">
        <v>0.12</v>
      </c>
      <c r="K17" s="145">
        <f t="shared" si="1"/>
        <v>252</v>
      </c>
      <c r="L17" s="145" t="s">
        <v>31</v>
      </c>
      <c r="M17" s="20"/>
      <c r="N17" s="20"/>
      <c r="O17" s="20"/>
    </row>
    <row r="18" ht="32" customHeight="1" spans="1:15">
      <c r="A18" s="141"/>
      <c r="B18" s="15"/>
      <c r="C18" s="142"/>
      <c r="D18" s="143"/>
      <c r="E18" s="142"/>
      <c r="F18" s="146">
        <v>45485</v>
      </c>
      <c r="G18" s="144">
        <v>30500</v>
      </c>
      <c r="H18" s="144">
        <f t="shared" si="0"/>
        <v>8</v>
      </c>
      <c r="I18" s="142">
        <v>30492</v>
      </c>
      <c r="J18" s="20">
        <v>0.12</v>
      </c>
      <c r="K18" s="145">
        <f t="shared" si="1"/>
        <v>3659.04</v>
      </c>
      <c r="L18" s="148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49">
        <v>45484</v>
      </c>
      <c r="G19" s="144">
        <v>561</v>
      </c>
      <c r="H19" s="144">
        <f t="shared" si="0"/>
        <v>26</v>
      </c>
      <c r="I19" s="13">
        <v>535</v>
      </c>
      <c r="J19" s="20">
        <v>0.254</v>
      </c>
      <c r="K19" s="145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49">
        <v>45484</v>
      </c>
      <c r="G20" s="144">
        <v>561</v>
      </c>
      <c r="H20" s="144">
        <f t="shared" si="0"/>
        <v>26</v>
      </c>
      <c r="I20" s="13">
        <v>535</v>
      </c>
      <c r="J20" s="20">
        <v>0.15</v>
      </c>
      <c r="K20" s="145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41">
        <v>45483</v>
      </c>
      <c r="B21" s="15" t="s">
        <v>26</v>
      </c>
      <c r="C21" s="142" t="s">
        <v>34</v>
      </c>
      <c r="D21" s="143" t="s">
        <v>35</v>
      </c>
      <c r="E21" s="142" t="s">
        <v>36</v>
      </c>
      <c r="F21" s="146">
        <v>45491</v>
      </c>
      <c r="G21" s="144">
        <f t="shared" ref="G21:G32" si="2">I21*1.05</f>
        <v>25213.65</v>
      </c>
      <c r="H21" s="144">
        <f t="shared" si="0"/>
        <v>1200.65</v>
      </c>
      <c r="I21" s="13">
        <v>24013</v>
      </c>
      <c r="J21" s="20">
        <v>0.368</v>
      </c>
      <c r="K21" s="145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41"/>
      <c r="B22" s="15"/>
      <c r="C22" s="142"/>
      <c r="D22" s="143"/>
      <c r="E22" s="142"/>
      <c r="F22" s="146">
        <v>45491</v>
      </c>
      <c r="G22" s="144">
        <f t="shared" si="2"/>
        <v>25213.65</v>
      </c>
      <c r="H22" s="144">
        <f t="shared" si="0"/>
        <v>1200.65</v>
      </c>
      <c r="I22" s="13">
        <v>24013</v>
      </c>
      <c r="J22" s="15">
        <f>0.042*7</f>
        <v>0.294</v>
      </c>
      <c r="K22" s="145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41"/>
      <c r="B23" s="15"/>
      <c r="C23" s="142"/>
      <c r="D23" s="143"/>
      <c r="E23" s="142"/>
      <c r="F23" s="146">
        <v>45491</v>
      </c>
      <c r="G23" s="144">
        <f t="shared" si="2"/>
        <v>25213.65</v>
      </c>
      <c r="H23" s="144">
        <f t="shared" si="0"/>
        <v>1200.65</v>
      </c>
      <c r="I23" s="13">
        <v>24013</v>
      </c>
      <c r="J23" s="20">
        <v>0.294</v>
      </c>
      <c r="K23" s="145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41"/>
      <c r="B24" s="15"/>
      <c r="C24" s="142"/>
      <c r="D24" s="143"/>
      <c r="E24" s="142"/>
      <c r="F24" s="146">
        <v>45491</v>
      </c>
      <c r="G24" s="144">
        <f t="shared" si="2"/>
        <v>25213.65</v>
      </c>
      <c r="H24" s="144">
        <f t="shared" si="0"/>
        <v>1200.65</v>
      </c>
      <c r="I24" s="13">
        <v>24013</v>
      </c>
      <c r="J24" s="20">
        <v>0.116</v>
      </c>
      <c r="K24" s="145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41">
        <v>45492</v>
      </c>
      <c r="B25" s="15" t="s">
        <v>39</v>
      </c>
      <c r="C25" s="142" t="s">
        <v>40</v>
      </c>
      <c r="D25" s="143" t="s">
        <v>41</v>
      </c>
      <c r="E25" s="142" t="s">
        <v>42</v>
      </c>
      <c r="F25" s="146">
        <v>45503</v>
      </c>
      <c r="G25" s="144">
        <f t="shared" si="2"/>
        <v>10500</v>
      </c>
      <c r="H25" s="144">
        <f t="shared" si="0"/>
        <v>500</v>
      </c>
      <c r="I25" s="13">
        <v>10000</v>
      </c>
      <c r="J25" s="20">
        <v>0.368</v>
      </c>
      <c r="K25" s="145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41"/>
      <c r="B26" s="15"/>
      <c r="C26" s="142"/>
      <c r="D26" s="143"/>
      <c r="E26" s="142"/>
      <c r="F26" s="146">
        <v>45503</v>
      </c>
      <c r="G26" s="144">
        <f t="shared" si="2"/>
        <v>10500</v>
      </c>
      <c r="H26" s="144">
        <f t="shared" si="0"/>
        <v>500</v>
      </c>
      <c r="I26" s="13">
        <v>10000</v>
      </c>
      <c r="J26" s="15">
        <f>0.042*7</f>
        <v>0.294</v>
      </c>
      <c r="K26" s="145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41"/>
      <c r="B27" s="15"/>
      <c r="C27" s="142"/>
      <c r="D27" s="143"/>
      <c r="E27" s="142"/>
      <c r="F27" s="146">
        <v>45503</v>
      </c>
      <c r="G27" s="144">
        <f t="shared" si="2"/>
        <v>10500</v>
      </c>
      <c r="H27" s="144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41"/>
      <c r="B28" s="15"/>
      <c r="C28" s="142"/>
      <c r="D28" s="143"/>
      <c r="E28" s="142"/>
      <c r="F28" s="146">
        <v>45503</v>
      </c>
      <c r="G28" s="144">
        <f t="shared" si="2"/>
        <v>10500</v>
      </c>
      <c r="H28" s="144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41">
        <v>45499</v>
      </c>
      <c r="B29" s="15" t="s">
        <v>39</v>
      </c>
      <c r="C29" s="142" t="s">
        <v>43</v>
      </c>
      <c r="D29" s="143" t="s">
        <v>44</v>
      </c>
      <c r="E29" s="142" t="s">
        <v>45</v>
      </c>
      <c r="F29" s="146">
        <v>45503</v>
      </c>
      <c r="G29" s="144">
        <f t="shared" si="2"/>
        <v>9765</v>
      </c>
      <c r="H29" s="144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41"/>
      <c r="B30" s="15"/>
      <c r="C30" s="142"/>
      <c r="D30" s="143"/>
      <c r="E30" s="142"/>
      <c r="F30" s="146">
        <v>45503</v>
      </c>
      <c r="G30" s="144">
        <f t="shared" si="2"/>
        <v>9765</v>
      </c>
      <c r="H30" s="144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41"/>
      <c r="B31" s="15"/>
      <c r="C31" s="142"/>
      <c r="D31" s="143"/>
      <c r="E31" s="142"/>
      <c r="F31" s="146">
        <v>45506</v>
      </c>
      <c r="G31" s="144">
        <f t="shared" si="2"/>
        <v>9765</v>
      </c>
      <c r="H31" s="144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41"/>
      <c r="B32" s="15"/>
      <c r="C32" s="142"/>
      <c r="D32" s="143"/>
      <c r="E32" s="142"/>
      <c r="F32" s="146">
        <v>45506</v>
      </c>
      <c r="G32" s="144">
        <f t="shared" si="2"/>
        <v>9765</v>
      </c>
      <c r="H32" s="144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50">
        <v>45439</v>
      </c>
      <c r="B33" s="151" t="s">
        <v>15</v>
      </c>
      <c r="C33" s="152">
        <v>54401</v>
      </c>
      <c r="D33" s="153" t="s">
        <v>16</v>
      </c>
      <c r="E33" s="152" t="s">
        <v>17</v>
      </c>
      <c r="F33" s="142" t="s">
        <v>46</v>
      </c>
      <c r="G33" s="13">
        <v>0</v>
      </c>
      <c r="H33" s="13">
        <v>0</v>
      </c>
      <c r="I33" s="13">
        <v>10000</v>
      </c>
      <c r="J33" s="15">
        <v>0.042</v>
      </c>
      <c r="K33" s="145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50">
        <v>45439</v>
      </c>
      <c r="B34" s="151" t="s">
        <v>15</v>
      </c>
      <c r="C34" s="152">
        <v>54404</v>
      </c>
      <c r="D34" s="153" t="s">
        <v>23</v>
      </c>
      <c r="E34" s="152" t="s">
        <v>24</v>
      </c>
      <c r="F34" s="142" t="s">
        <v>46</v>
      </c>
      <c r="G34" s="13">
        <v>0</v>
      </c>
      <c r="H34" s="13">
        <v>0</v>
      </c>
      <c r="I34" s="13">
        <v>30000</v>
      </c>
      <c r="J34" s="15">
        <v>0.042</v>
      </c>
      <c r="K34" s="145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41">
        <v>45477</v>
      </c>
      <c r="B35" s="15" t="s">
        <v>26</v>
      </c>
      <c r="C35" s="142">
        <v>58401</v>
      </c>
      <c r="D35" s="143" t="s">
        <v>32</v>
      </c>
      <c r="E35" s="142" t="s">
        <v>33</v>
      </c>
      <c r="F35" s="146">
        <v>45484</v>
      </c>
      <c r="G35" s="144">
        <v>32552</v>
      </c>
      <c r="H35" s="144">
        <f>G35-I35</f>
        <v>1550</v>
      </c>
      <c r="I35" s="13">
        <v>31002</v>
      </c>
      <c r="J35" s="20">
        <v>0.1</v>
      </c>
      <c r="K35" s="145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256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257</v>
      </c>
      <c r="B2" s="5" t="s">
        <v>258</v>
      </c>
      <c r="C2" s="5" t="s">
        <v>259</v>
      </c>
      <c r="D2" s="6" t="s">
        <v>4</v>
      </c>
      <c r="E2" s="5" t="s">
        <v>260</v>
      </c>
      <c r="F2" s="7" t="s">
        <v>261</v>
      </c>
      <c r="G2" s="8" t="s">
        <v>262</v>
      </c>
      <c r="H2" s="9" t="s">
        <v>263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264</v>
      </c>
      <c r="D3" s="14" t="s">
        <v>265</v>
      </c>
      <c r="E3" s="13" t="s">
        <v>266</v>
      </c>
      <c r="F3" s="15" t="s">
        <v>267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268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269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270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225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f>42000/7</f>
        <v>6000</v>
      </c>
      <c r="I4" s="58">
        <f>0.042*7</f>
        <v>0.294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</f>
        <v>8526</v>
      </c>
      <c r="I8" s="35">
        <f>0.042*5</f>
        <v>0.21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</f>
        <v>3200</v>
      </c>
      <c r="I21" s="34">
        <f>0.042*5</f>
        <v>0.21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</f>
        <v>3013</v>
      </c>
      <c r="I29" s="34">
        <f>0.042*5</f>
        <v>0.21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>H33*I33</f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</f>
        <v>10001</v>
      </c>
      <c r="I34" s="34">
        <f>0.042*5</f>
        <v>0.21</v>
      </c>
      <c r="J34" s="34">
        <f>H34*I34</f>
        <v>2100.21</v>
      </c>
    </row>
    <row r="35" ht="16.5" spans="1:10">
      <c r="A35" s="28">
        <v>45733</v>
      </c>
      <c r="B35" s="29" t="s">
        <v>39</v>
      </c>
      <c r="C35" s="29" t="s">
        <v>43</v>
      </c>
      <c r="D35" s="73" t="s">
        <v>88</v>
      </c>
      <c r="E35" s="29" t="s">
        <v>89</v>
      </c>
      <c r="F35" s="67" t="s">
        <v>83</v>
      </c>
      <c r="G35" s="35" t="s">
        <v>90</v>
      </c>
      <c r="H35" s="74">
        <f>1414+2424+2929+2121+1212</f>
        <v>10100</v>
      </c>
      <c r="I35" s="68">
        <v>1.07</v>
      </c>
      <c r="J35" s="68">
        <f>H35*I35</f>
        <v>10807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f>10000*0.01</f>
        <v>100</v>
      </c>
      <c r="I36" s="68">
        <v>0</v>
      </c>
      <c r="J36" s="68">
        <v>0</v>
      </c>
    </row>
    <row r="37" ht="16.5" spans="1:10">
      <c r="A37" s="28"/>
      <c r="B37" s="29"/>
      <c r="C37" s="29"/>
      <c r="D37" s="73"/>
      <c r="E37" s="29"/>
      <c r="F37" s="70"/>
      <c r="G37" s="35" t="s">
        <v>91</v>
      </c>
      <c r="H37" s="74">
        <f>1442+2472+2987+2163+1236-10100</f>
        <v>200</v>
      </c>
      <c r="I37" s="68">
        <v>1.07</v>
      </c>
      <c r="J37" s="68">
        <f t="shared" ref="J37:J62" si="2">H37*I37</f>
        <v>214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35">
        <f>840+1440+1740+1260+720+560+960+1160+840+480</f>
        <v>10000</v>
      </c>
      <c r="I38" s="34">
        <v>0.28</v>
      </c>
      <c r="J38" s="34">
        <f t="shared" si="2"/>
        <v>2800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35">
        <f>1400+2400+2900+2100+1200</f>
        <v>10000</v>
      </c>
      <c r="I39" s="34">
        <v>0.11</v>
      </c>
      <c r="J39" s="34">
        <f t="shared" si="2"/>
        <v>1100</v>
      </c>
    </row>
    <row r="40" ht="16.5" spans="1:10">
      <c r="A40" s="28"/>
      <c r="B40" s="29"/>
      <c r="C40" s="29"/>
      <c r="D40" s="73"/>
      <c r="E40" s="29"/>
      <c r="F40" s="71"/>
      <c r="G40" s="34" t="s">
        <v>60</v>
      </c>
      <c r="H40" s="34">
        <f>10000</f>
        <v>10000</v>
      </c>
      <c r="I40" s="34">
        <f>0.042*5</f>
        <v>0.21</v>
      </c>
      <c r="J40" s="34">
        <f t="shared" si="2"/>
        <v>2100</v>
      </c>
    </row>
    <row r="41" ht="16.5" spans="1:10">
      <c r="A41" s="28">
        <v>45734</v>
      </c>
      <c r="B41" s="29" t="s">
        <v>39</v>
      </c>
      <c r="C41" s="29" t="s">
        <v>92</v>
      </c>
      <c r="D41" s="73" t="s">
        <v>93</v>
      </c>
      <c r="E41" s="29" t="s">
        <v>94</v>
      </c>
      <c r="F41" s="67" t="s">
        <v>83</v>
      </c>
      <c r="G41" s="35" t="s">
        <v>68</v>
      </c>
      <c r="H41" s="75">
        <v>9283</v>
      </c>
      <c r="I41" s="68">
        <v>1.07</v>
      </c>
      <c r="J41" s="68">
        <f t="shared" si="2"/>
        <v>9932.81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v>90</v>
      </c>
      <c r="I42" s="68">
        <v>0</v>
      </c>
      <c r="J42" s="68">
        <f t="shared" si="2"/>
        <v>0</v>
      </c>
    </row>
    <row r="43" ht="16.5" spans="1:10">
      <c r="A43" s="28"/>
      <c r="B43" s="29"/>
      <c r="C43" s="29"/>
      <c r="D43" s="73"/>
      <c r="E43" s="29"/>
      <c r="F43" s="70"/>
      <c r="G43" s="29" t="s">
        <v>95</v>
      </c>
      <c r="H43" s="74">
        <f>4*5+5</f>
        <v>25</v>
      </c>
      <c r="I43" s="68">
        <v>0</v>
      </c>
      <c r="J43" s="68">
        <f t="shared" si="2"/>
        <v>0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74">
        <f>3000+3000+3000+13</f>
        <v>9013</v>
      </c>
      <c r="I44" s="34">
        <v>0.28</v>
      </c>
      <c r="J44" s="68">
        <f t="shared" si="2"/>
        <v>2523.64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74">
        <f>3000+3000+3000+13</f>
        <v>9013</v>
      </c>
      <c r="I45" s="34">
        <v>0.11</v>
      </c>
      <c r="J45" s="68">
        <f t="shared" si="2"/>
        <v>991.43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9013</f>
        <v>9013</v>
      </c>
      <c r="I46" s="34">
        <f>0.042*5</f>
        <v>0.21</v>
      </c>
      <c r="J46" s="34">
        <f t="shared" si="2"/>
        <v>1892.73</v>
      </c>
    </row>
    <row r="47" ht="16.5" spans="1:10">
      <c r="A47" s="28">
        <v>45738</v>
      </c>
      <c r="B47" s="29" t="s">
        <v>39</v>
      </c>
      <c r="C47" s="29" t="s">
        <v>96</v>
      </c>
      <c r="D47" s="73" t="s">
        <v>97</v>
      </c>
      <c r="E47" s="29" t="s">
        <v>98</v>
      </c>
      <c r="F47" s="67" t="s">
        <v>83</v>
      </c>
      <c r="G47" s="35" t="s">
        <v>68</v>
      </c>
      <c r="H47" s="68">
        <f>999+2338+4573+3203+1246</f>
        <v>12359</v>
      </c>
      <c r="I47" s="68">
        <v>1.07</v>
      </c>
      <c r="J47" s="68">
        <f t="shared" si="2"/>
        <v>13224.13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68">
        <f>12000*0.01</f>
        <v>120</v>
      </c>
      <c r="I48" s="68">
        <v>0</v>
      </c>
      <c r="J48" s="68">
        <f t="shared" si="2"/>
        <v>0</v>
      </c>
    </row>
    <row r="49" ht="16.5" spans="1:10">
      <c r="A49" s="28"/>
      <c r="B49" s="29"/>
      <c r="C49" s="29"/>
      <c r="D49" s="73"/>
      <c r="E49" s="29"/>
      <c r="F49" s="70"/>
      <c r="G49" s="35" t="s">
        <v>72</v>
      </c>
      <c r="H49" s="34">
        <v>2900</v>
      </c>
      <c r="I49" s="34">
        <v>0.28</v>
      </c>
      <c r="J49" s="68">
        <f t="shared" si="2"/>
        <v>812</v>
      </c>
    </row>
    <row r="50" ht="16.5" spans="1:10">
      <c r="A50" s="28"/>
      <c r="B50" s="29"/>
      <c r="C50" s="29"/>
      <c r="D50" s="73"/>
      <c r="E50" s="29"/>
      <c r="F50" s="70"/>
      <c r="G50" s="34" t="s">
        <v>22</v>
      </c>
      <c r="H50" s="34">
        <f>2900+2000</f>
        <v>4900</v>
      </c>
      <c r="I50" s="34">
        <v>0.11</v>
      </c>
      <c r="J50" s="68">
        <f t="shared" si="2"/>
        <v>539</v>
      </c>
    </row>
    <row r="51" ht="16.5" spans="1:10">
      <c r="A51" s="28"/>
      <c r="B51" s="29"/>
      <c r="C51" s="29"/>
      <c r="D51" s="73"/>
      <c r="E51" s="29"/>
      <c r="F51" s="70"/>
      <c r="G51" s="35" t="s">
        <v>79</v>
      </c>
      <c r="H51" s="34">
        <v>2000</v>
      </c>
      <c r="I51" s="34">
        <v>0.24</v>
      </c>
      <c r="J51" s="68">
        <f t="shared" si="2"/>
        <v>480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12000</f>
        <v>12000</v>
      </c>
      <c r="I52" s="34">
        <f>0.042*5</f>
        <v>0.21</v>
      </c>
      <c r="J52" s="34">
        <f t="shared" si="2"/>
        <v>2520</v>
      </c>
    </row>
    <row r="53" ht="16.5" spans="1:10">
      <c r="A53" s="28">
        <v>45748</v>
      </c>
      <c r="B53" s="29" t="s">
        <v>39</v>
      </c>
      <c r="C53" s="29" t="s">
        <v>99</v>
      </c>
      <c r="D53" s="73" t="s">
        <v>100</v>
      </c>
      <c r="E53" s="29" t="s">
        <v>101</v>
      </c>
      <c r="F53" s="72" t="s">
        <v>102</v>
      </c>
      <c r="G53" s="35" t="s">
        <v>103</v>
      </c>
      <c r="H53" s="34">
        <f>8200+13+2400</f>
        <v>10613</v>
      </c>
      <c r="I53" s="34">
        <v>0.85</v>
      </c>
      <c r="J53" s="34">
        <f t="shared" si="2"/>
        <v>9021.05</v>
      </c>
    </row>
    <row r="54" ht="16.5" spans="1:10">
      <c r="A54" s="28"/>
      <c r="B54" s="29"/>
      <c r="C54" s="29"/>
      <c r="D54" s="73"/>
      <c r="E54" s="29"/>
      <c r="F54" s="72"/>
      <c r="G54" s="35" t="s">
        <v>104</v>
      </c>
      <c r="H54" s="34">
        <v>106</v>
      </c>
      <c r="I54" s="34">
        <v>0</v>
      </c>
      <c r="J54" s="34">
        <f t="shared" si="2"/>
        <v>0</v>
      </c>
    </row>
    <row r="55" ht="16.5" spans="1:10">
      <c r="A55" s="28"/>
      <c r="B55" s="29"/>
      <c r="C55" s="29"/>
      <c r="D55" s="73"/>
      <c r="E55" s="29"/>
      <c r="F55" s="72"/>
      <c r="G55" s="35" t="s">
        <v>105</v>
      </c>
      <c r="H55" s="34">
        <f>5*5+5</f>
        <v>30</v>
      </c>
      <c r="I55" s="34">
        <v>0</v>
      </c>
      <c r="J55" s="34">
        <f t="shared" si="2"/>
        <v>0</v>
      </c>
    </row>
    <row r="56" ht="16.5" spans="1:10">
      <c r="A56" s="28"/>
      <c r="B56" s="29"/>
      <c r="C56" s="29"/>
      <c r="D56" s="73"/>
      <c r="E56" s="29"/>
      <c r="F56" s="72"/>
      <c r="G56" s="35" t="s">
        <v>72</v>
      </c>
      <c r="H56" s="34">
        <f>8200+13+2400</f>
        <v>10613</v>
      </c>
      <c r="I56" s="34">
        <v>0.28</v>
      </c>
      <c r="J56" s="34">
        <f t="shared" si="2"/>
        <v>2971.64</v>
      </c>
    </row>
    <row r="57" ht="16.5" spans="1:10">
      <c r="A57" s="28"/>
      <c r="B57" s="29"/>
      <c r="C57" s="29"/>
      <c r="D57" s="73"/>
      <c r="E57" s="29"/>
      <c r="F57" s="72"/>
      <c r="G57" s="34" t="s">
        <v>22</v>
      </c>
      <c r="H57" s="34">
        <f>8200+13+2400</f>
        <v>10613</v>
      </c>
      <c r="I57" s="34">
        <v>0.11</v>
      </c>
      <c r="J57" s="34">
        <f t="shared" si="2"/>
        <v>1167.43</v>
      </c>
    </row>
    <row r="58" ht="16.5" spans="1:10">
      <c r="A58" s="28"/>
      <c r="B58" s="29"/>
      <c r="C58" s="29"/>
      <c r="D58" s="73"/>
      <c r="E58" s="29"/>
      <c r="F58" s="72"/>
      <c r="G58" s="34" t="s">
        <v>106</v>
      </c>
      <c r="H58" s="34">
        <f>10613</f>
        <v>10613</v>
      </c>
      <c r="I58" s="34">
        <f>0.042*4</f>
        <v>0.168</v>
      </c>
      <c r="J58" s="34">
        <f t="shared" si="2"/>
        <v>1782.984</v>
      </c>
    </row>
    <row r="59" ht="16.5" spans="1:10">
      <c r="A59" s="28"/>
      <c r="B59" s="29"/>
      <c r="C59" s="29"/>
      <c r="D59" s="73"/>
      <c r="E59" s="29"/>
      <c r="F59" s="72"/>
      <c r="G59" s="34" t="s">
        <v>107</v>
      </c>
      <c r="H59" s="34">
        <v>10613</v>
      </c>
      <c r="I59" s="34">
        <v>0.027</v>
      </c>
      <c r="J59" s="34">
        <f t="shared" si="2"/>
        <v>286.551</v>
      </c>
    </row>
    <row r="60" ht="16.5" spans="1:10">
      <c r="A60" s="28"/>
      <c r="B60" s="29"/>
      <c r="C60" s="29"/>
      <c r="D60" s="73"/>
      <c r="E60" s="29"/>
      <c r="F60" s="72"/>
      <c r="G60" s="68" t="s">
        <v>108</v>
      </c>
      <c r="H60" s="34">
        <f>170+255+175</f>
        <v>600</v>
      </c>
      <c r="I60" s="34">
        <v>0.24</v>
      </c>
      <c r="J60" s="34">
        <f t="shared" si="2"/>
        <v>144</v>
      </c>
    </row>
    <row r="61" ht="16.5" spans="1:10">
      <c r="A61" s="28"/>
      <c r="B61" s="29"/>
      <c r="C61" s="29"/>
      <c r="D61" s="73"/>
      <c r="E61" s="29"/>
      <c r="F61" s="72" t="s">
        <v>109</v>
      </c>
      <c r="G61" s="68" t="s">
        <v>110</v>
      </c>
      <c r="H61" s="34">
        <v>7300</v>
      </c>
      <c r="I61" s="34">
        <v>0.33</v>
      </c>
      <c r="J61" s="34">
        <f t="shared" si="2"/>
        <v>2409</v>
      </c>
    </row>
    <row r="62" ht="16.5" spans="1:10">
      <c r="A62" s="28"/>
      <c r="B62" s="29"/>
      <c r="C62" s="29"/>
      <c r="D62" s="73"/>
      <c r="E62" s="29"/>
      <c r="F62" s="72"/>
      <c r="G62" s="34" t="s">
        <v>111</v>
      </c>
      <c r="H62" s="34">
        <v>500</v>
      </c>
      <c r="I62" s="34">
        <v>0.65</v>
      </c>
      <c r="J62" s="34">
        <f t="shared" si="2"/>
        <v>325</v>
      </c>
    </row>
    <row r="63" ht="16.5" spans="1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33" spans="1:10">
      <c r="A3" s="28">
        <v>45761</v>
      </c>
      <c r="B3" s="29" t="s">
        <v>39</v>
      </c>
      <c r="C3" s="29">
        <v>76382</v>
      </c>
      <c r="D3" s="73" t="s">
        <v>113</v>
      </c>
      <c r="E3" s="29" t="s">
        <v>114</v>
      </c>
      <c r="F3" s="72" t="s">
        <v>115</v>
      </c>
      <c r="G3" s="34" t="s">
        <v>116</v>
      </c>
      <c r="H3" s="34">
        <v>201</v>
      </c>
      <c r="I3" s="34">
        <v>0.007</v>
      </c>
      <c r="J3" s="34">
        <f>H3*I3</f>
        <v>1.407</v>
      </c>
    </row>
    <row r="4" ht="16.5" spans="1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opLeftCell="A40" workbookViewId="0">
      <selection activeCell="A57" sqref="A57:A5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9.54545454545454" customWidth="1"/>
    <col min="13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136">
        <v>45890</v>
      </c>
      <c r="B3" s="137" t="s">
        <v>117</v>
      </c>
      <c r="C3" s="138" t="s">
        <v>118</v>
      </c>
      <c r="D3" s="139" t="s">
        <v>119</v>
      </c>
      <c r="E3" s="137" t="s">
        <v>120</v>
      </c>
      <c r="F3" s="136">
        <v>45896</v>
      </c>
      <c r="G3" s="112" t="s">
        <v>87</v>
      </c>
      <c r="H3" s="112">
        <v>8000</v>
      </c>
      <c r="I3" s="95">
        <v>1.07</v>
      </c>
      <c r="J3" s="112">
        <f>H3*I3</f>
        <v>8560</v>
      </c>
    </row>
    <row r="4" ht="16.5" spans="1:10">
      <c r="A4" s="136"/>
      <c r="B4" s="137"/>
      <c r="C4" s="137"/>
      <c r="D4" s="139"/>
      <c r="E4" s="137"/>
      <c r="F4" s="136"/>
      <c r="G4" s="112" t="s">
        <v>69</v>
      </c>
      <c r="H4" s="112">
        <f>8000*0.01</f>
        <v>80</v>
      </c>
      <c r="I4" s="95">
        <v>0</v>
      </c>
      <c r="J4" s="112">
        <f t="shared" ref="J4:J44" si="0">H4*I4</f>
        <v>0</v>
      </c>
    </row>
    <row r="5" ht="16.5" spans="1:10">
      <c r="A5" s="136"/>
      <c r="B5" s="137"/>
      <c r="C5" s="137"/>
      <c r="D5" s="139"/>
      <c r="E5" s="137"/>
      <c r="F5" s="136"/>
      <c r="G5" s="112" t="s">
        <v>72</v>
      </c>
      <c r="H5" s="112">
        <v>8000</v>
      </c>
      <c r="I5" s="112">
        <v>0.24</v>
      </c>
      <c r="J5" s="112">
        <f t="shared" si="0"/>
        <v>1920</v>
      </c>
    </row>
    <row r="6" ht="16.5" spans="1:10">
      <c r="A6" s="136"/>
      <c r="B6" s="137"/>
      <c r="C6" s="137"/>
      <c r="D6" s="139"/>
      <c r="E6" s="137"/>
      <c r="F6" s="136"/>
      <c r="G6" s="95" t="s">
        <v>22</v>
      </c>
      <c r="H6" s="112">
        <f>4000+4000</f>
        <v>8000</v>
      </c>
      <c r="I6" s="95">
        <v>0.11</v>
      </c>
      <c r="J6" s="112">
        <f t="shared" si="0"/>
        <v>880</v>
      </c>
    </row>
    <row r="7" ht="16.5" spans="1:10">
      <c r="A7" s="136"/>
      <c r="B7" s="137"/>
      <c r="C7" s="137"/>
      <c r="D7" s="139"/>
      <c r="E7" s="137"/>
      <c r="F7" s="136">
        <v>45895</v>
      </c>
      <c r="G7" s="95" t="s">
        <v>106</v>
      </c>
      <c r="H7" s="112">
        <f>8000*4</f>
        <v>32000</v>
      </c>
      <c r="I7" s="95">
        <v>0.042</v>
      </c>
      <c r="J7" s="112">
        <f t="shared" si="0"/>
        <v>1344</v>
      </c>
    </row>
    <row r="8" ht="16.5" spans="1:10">
      <c r="A8" s="136">
        <v>45890</v>
      </c>
      <c r="B8" s="137" t="s">
        <v>117</v>
      </c>
      <c r="C8" s="138" t="s">
        <v>121</v>
      </c>
      <c r="D8" s="139" t="s">
        <v>122</v>
      </c>
      <c r="E8" s="137" t="s">
        <v>123</v>
      </c>
      <c r="F8" s="136">
        <v>45896</v>
      </c>
      <c r="G8" s="112" t="s">
        <v>87</v>
      </c>
      <c r="H8" s="112">
        <v>3000</v>
      </c>
      <c r="I8" s="95">
        <v>1.07</v>
      </c>
      <c r="J8" s="112">
        <f t="shared" si="0"/>
        <v>3210</v>
      </c>
    </row>
    <row r="9" ht="16.5" spans="1:10">
      <c r="A9" s="136"/>
      <c r="B9" s="137"/>
      <c r="C9" s="137"/>
      <c r="D9" s="139"/>
      <c r="E9" s="137"/>
      <c r="F9" s="136"/>
      <c r="G9" s="112" t="s">
        <v>69</v>
      </c>
      <c r="H9" s="112">
        <f>3000*0.01</f>
        <v>30</v>
      </c>
      <c r="I9" s="95">
        <v>0</v>
      </c>
      <c r="J9" s="112">
        <f t="shared" si="0"/>
        <v>0</v>
      </c>
    </row>
    <row r="10" ht="16.5" spans="1:10">
      <c r="A10" s="136"/>
      <c r="B10" s="137"/>
      <c r="C10" s="137"/>
      <c r="D10" s="139"/>
      <c r="E10" s="137"/>
      <c r="F10" s="136"/>
      <c r="G10" s="112" t="s">
        <v>70</v>
      </c>
      <c r="H10" s="112">
        <f>5*5</f>
        <v>25</v>
      </c>
      <c r="I10" s="95">
        <v>0</v>
      </c>
      <c r="J10" s="112">
        <f t="shared" si="0"/>
        <v>0</v>
      </c>
    </row>
    <row r="11" ht="16.5" spans="1:10">
      <c r="A11" s="136"/>
      <c r="B11" s="137"/>
      <c r="C11" s="137"/>
      <c r="D11" s="139"/>
      <c r="E11" s="137"/>
      <c r="F11" s="136"/>
      <c r="G11" s="112" t="s">
        <v>72</v>
      </c>
      <c r="H11" s="112">
        <f>2000+1000</f>
        <v>3000</v>
      </c>
      <c r="I11" s="112">
        <v>0.24</v>
      </c>
      <c r="J11" s="112">
        <f t="shared" si="0"/>
        <v>720</v>
      </c>
    </row>
    <row r="12" ht="16.5" spans="1:10">
      <c r="A12" s="136"/>
      <c r="B12" s="137"/>
      <c r="C12" s="137"/>
      <c r="D12" s="139"/>
      <c r="E12" s="137"/>
      <c r="F12" s="136"/>
      <c r="G12" s="95" t="s">
        <v>22</v>
      </c>
      <c r="H12" s="112">
        <v>3000</v>
      </c>
      <c r="I12" s="95">
        <v>0.11</v>
      </c>
      <c r="J12" s="112">
        <f t="shared" si="0"/>
        <v>330</v>
      </c>
    </row>
    <row r="13" ht="16.5" spans="1:10">
      <c r="A13" s="136"/>
      <c r="B13" s="137"/>
      <c r="C13" s="137"/>
      <c r="D13" s="139"/>
      <c r="E13" s="137"/>
      <c r="F13" s="136">
        <v>45895</v>
      </c>
      <c r="G13" s="95" t="s">
        <v>106</v>
      </c>
      <c r="H13" s="112">
        <f>3000*4</f>
        <v>12000</v>
      </c>
      <c r="I13" s="95">
        <v>0.042</v>
      </c>
      <c r="J13" s="112">
        <f t="shared" si="0"/>
        <v>504</v>
      </c>
    </row>
    <row r="14" ht="16.5" spans="1:10">
      <c r="A14" s="136">
        <v>45890</v>
      </c>
      <c r="B14" s="137" t="s">
        <v>117</v>
      </c>
      <c r="C14" s="138">
        <v>88375</v>
      </c>
      <c r="D14" s="139" t="s">
        <v>124</v>
      </c>
      <c r="E14" s="137" t="s">
        <v>125</v>
      </c>
      <c r="F14" s="136">
        <v>45896</v>
      </c>
      <c r="G14" s="112" t="s">
        <v>72</v>
      </c>
      <c r="H14" s="90">
        <v>4500</v>
      </c>
      <c r="I14" s="90">
        <v>0.24</v>
      </c>
      <c r="J14" s="112">
        <f t="shared" si="0"/>
        <v>1080</v>
      </c>
    </row>
    <row r="15" ht="16.5" spans="1:10">
      <c r="A15" s="136"/>
      <c r="B15" s="137"/>
      <c r="C15" s="138"/>
      <c r="D15" s="139"/>
      <c r="E15" s="137"/>
      <c r="F15" s="136"/>
      <c r="G15" s="95" t="s">
        <v>22</v>
      </c>
      <c r="H15" s="90">
        <v>4500</v>
      </c>
      <c r="I15" s="90">
        <v>0.11</v>
      </c>
      <c r="J15" s="112">
        <f t="shared" si="0"/>
        <v>495</v>
      </c>
    </row>
    <row r="16" ht="16.5" spans="1:10">
      <c r="A16" s="136"/>
      <c r="B16" s="137"/>
      <c r="C16" s="138"/>
      <c r="D16" s="139"/>
      <c r="E16" s="137"/>
      <c r="F16" s="136"/>
      <c r="G16" s="112" t="s">
        <v>126</v>
      </c>
      <c r="H16" s="90">
        <v>4500</v>
      </c>
      <c r="I16" s="90">
        <v>0.22</v>
      </c>
      <c r="J16" s="112">
        <f t="shared" si="0"/>
        <v>990</v>
      </c>
    </row>
    <row r="17" ht="16.5" spans="1:10">
      <c r="A17" s="136"/>
      <c r="B17" s="137"/>
      <c r="C17" s="138"/>
      <c r="D17" s="139"/>
      <c r="E17" s="137"/>
      <c r="F17" s="136">
        <v>45895</v>
      </c>
      <c r="G17" s="95" t="s">
        <v>127</v>
      </c>
      <c r="H17" s="90">
        <f>4500*4</f>
        <v>18000</v>
      </c>
      <c r="I17" s="90">
        <v>0.042</v>
      </c>
      <c r="J17" s="112">
        <f t="shared" si="0"/>
        <v>756</v>
      </c>
    </row>
    <row r="18" ht="16.5" spans="1:10">
      <c r="A18" s="136"/>
      <c r="B18" s="137"/>
      <c r="C18" s="138"/>
      <c r="D18" s="139"/>
      <c r="E18" s="137"/>
      <c r="F18" s="136"/>
      <c r="G18" s="95" t="s">
        <v>128</v>
      </c>
      <c r="H18" s="90">
        <v>4500</v>
      </c>
      <c r="I18" s="90">
        <v>0.12</v>
      </c>
      <c r="J18" s="112">
        <f t="shared" si="0"/>
        <v>540</v>
      </c>
    </row>
    <row r="19" ht="16.5" spans="1:10">
      <c r="A19" s="136"/>
      <c r="B19" s="137"/>
      <c r="C19" s="138"/>
      <c r="D19" s="139"/>
      <c r="E19" s="137"/>
      <c r="F19" s="136">
        <v>45896</v>
      </c>
      <c r="G19" s="95" t="s">
        <v>129</v>
      </c>
      <c r="H19" s="90">
        <v>4500</v>
      </c>
      <c r="I19" s="90">
        <v>0.89</v>
      </c>
      <c r="J19" s="112">
        <f t="shared" si="0"/>
        <v>4005</v>
      </c>
    </row>
    <row r="20" ht="16.5" spans="1:10">
      <c r="A20" s="136"/>
      <c r="B20" s="137"/>
      <c r="C20" s="138"/>
      <c r="D20" s="139"/>
      <c r="E20" s="137"/>
      <c r="F20" s="136"/>
      <c r="G20" s="95" t="s">
        <v>130</v>
      </c>
      <c r="H20" s="90">
        <f>H19*0.01</f>
        <v>45</v>
      </c>
      <c r="I20" s="90">
        <v>0</v>
      </c>
      <c r="J20" s="112">
        <f t="shared" si="0"/>
        <v>0</v>
      </c>
    </row>
    <row r="21" ht="16.5" spans="1:10">
      <c r="A21" s="136">
        <v>45896</v>
      </c>
      <c r="B21" s="137" t="s">
        <v>117</v>
      </c>
      <c r="C21" s="138">
        <v>88813</v>
      </c>
      <c r="D21" s="139" t="s">
        <v>131</v>
      </c>
      <c r="E21" s="137" t="s">
        <v>132</v>
      </c>
      <c r="F21" s="136">
        <v>45903</v>
      </c>
      <c r="G21" s="112" t="s">
        <v>22</v>
      </c>
      <c r="H21" s="140">
        <v>9500</v>
      </c>
      <c r="I21" s="140">
        <v>0.11</v>
      </c>
      <c r="J21" s="112">
        <f t="shared" si="0"/>
        <v>1045</v>
      </c>
    </row>
    <row r="22" ht="16.5" spans="1:10">
      <c r="A22" s="136"/>
      <c r="B22" s="137"/>
      <c r="C22" s="138"/>
      <c r="D22" s="139"/>
      <c r="E22" s="137"/>
      <c r="F22" s="136"/>
      <c r="G22" s="112" t="s">
        <v>126</v>
      </c>
      <c r="H22" s="140">
        <v>9500</v>
      </c>
      <c r="I22" s="140">
        <v>0.22</v>
      </c>
      <c r="J22" s="112">
        <f t="shared" si="0"/>
        <v>2090</v>
      </c>
    </row>
    <row r="23" ht="16.5" spans="1:10">
      <c r="A23" s="136"/>
      <c r="B23" s="137"/>
      <c r="C23" s="138"/>
      <c r="D23" s="139"/>
      <c r="E23" s="137"/>
      <c r="F23" s="136"/>
      <c r="G23" s="95" t="s">
        <v>127</v>
      </c>
      <c r="H23" s="90">
        <f>9500*4</f>
        <v>38000</v>
      </c>
      <c r="I23" s="90">
        <v>0.042</v>
      </c>
      <c r="J23" s="112">
        <f t="shared" si="0"/>
        <v>1596</v>
      </c>
    </row>
    <row r="24" ht="16.5" spans="1:10">
      <c r="A24" s="136"/>
      <c r="B24" s="137"/>
      <c r="C24" s="138"/>
      <c r="D24" s="139"/>
      <c r="E24" s="137"/>
      <c r="F24" s="136"/>
      <c r="G24" s="95" t="s">
        <v>128</v>
      </c>
      <c r="H24" s="90">
        <v>9500</v>
      </c>
      <c r="I24" s="90">
        <v>0.12</v>
      </c>
      <c r="J24" s="112">
        <f t="shared" si="0"/>
        <v>1140</v>
      </c>
    </row>
    <row r="25" ht="16.5" spans="1:10">
      <c r="A25" s="136"/>
      <c r="B25" s="137"/>
      <c r="C25" s="138"/>
      <c r="D25" s="139"/>
      <c r="E25" s="137"/>
      <c r="F25" s="136"/>
      <c r="G25" s="112" t="s">
        <v>129</v>
      </c>
      <c r="H25" s="140">
        <v>9500</v>
      </c>
      <c r="I25" s="140">
        <v>0.89</v>
      </c>
      <c r="J25" s="112">
        <f t="shared" si="0"/>
        <v>8455</v>
      </c>
    </row>
    <row r="26" ht="16.5" spans="1:10">
      <c r="A26" s="136"/>
      <c r="B26" s="137"/>
      <c r="C26" s="138"/>
      <c r="D26" s="139"/>
      <c r="E26" s="137"/>
      <c r="F26" s="136"/>
      <c r="G26" s="112" t="s">
        <v>130</v>
      </c>
      <c r="H26" s="140">
        <f>9500*0.01</f>
        <v>95</v>
      </c>
      <c r="I26" s="140">
        <v>0</v>
      </c>
      <c r="J26" s="112">
        <f t="shared" si="0"/>
        <v>0</v>
      </c>
    </row>
    <row r="27" s="1" customFormat="1" ht="16.5" spans="1:10">
      <c r="A27" s="28">
        <v>45911</v>
      </c>
      <c r="B27" s="29" t="s">
        <v>117</v>
      </c>
      <c r="C27" s="65" t="s">
        <v>133</v>
      </c>
      <c r="D27" s="73" t="s">
        <v>134</v>
      </c>
      <c r="E27" s="29" t="s">
        <v>135</v>
      </c>
      <c r="F27" s="94">
        <v>45917</v>
      </c>
      <c r="G27" s="35" t="s">
        <v>136</v>
      </c>
      <c r="H27" s="35">
        <f>6000+8000+8000+8000</f>
        <v>30000</v>
      </c>
      <c r="I27" s="34">
        <v>1.07</v>
      </c>
      <c r="J27" s="35">
        <f t="shared" si="0"/>
        <v>32100</v>
      </c>
    </row>
    <row r="28" s="1" customFormat="1" ht="16.5" spans="1:10">
      <c r="A28" s="28"/>
      <c r="B28" s="29"/>
      <c r="C28" s="29"/>
      <c r="D28" s="73"/>
      <c r="E28" s="29"/>
      <c r="F28" s="94"/>
      <c r="G28" s="35" t="s">
        <v>137</v>
      </c>
      <c r="H28" s="35">
        <f>30000*0.01</f>
        <v>300</v>
      </c>
      <c r="I28" s="34">
        <v>0</v>
      </c>
      <c r="J28" s="35">
        <f t="shared" si="0"/>
        <v>0</v>
      </c>
    </row>
    <row r="29" s="1" customFormat="1" ht="16.5" spans="1:10">
      <c r="A29" s="28"/>
      <c r="B29" s="29"/>
      <c r="C29" s="29"/>
      <c r="D29" s="73"/>
      <c r="E29" s="29"/>
      <c r="F29" s="94"/>
      <c r="G29" s="35" t="s">
        <v>138</v>
      </c>
      <c r="H29" s="35">
        <f>5*5*2+5</f>
        <v>55</v>
      </c>
      <c r="I29" s="34">
        <v>0</v>
      </c>
      <c r="J29" s="35">
        <f t="shared" si="0"/>
        <v>0</v>
      </c>
    </row>
    <row r="30" s="1" customFormat="1" ht="16.5" spans="1:10">
      <c r="A30" s="28"/>
      <c r="B30" s="29"/>
      <c r="C30" s="29"/>
      <c r="D30" s="73"/>
      <c r="E30" s="29"/>
      <c r="F30" s="94"/>
      <c r="G30" s="35" t="s">
        <v>139</v>
      </c>
      <c r="H30" s="35">
        <v>30026</v>
      </c>
      <c r="I30" s="34">
        <v>0.098</v>
      </c>
      <c r="J30" s="35">
        <f t="shared" si="0"/>
        <v>2942.548</v>
      </c>
    </row>
    <row r="31" s="1" customFormat="1" ht="16.5" spans="1:10">
      <c r="A31" s="28"/>
      <c r="B31" s="29"/>
      <c r="C31" s="29"/>
      <c r="D31" s="73"/>
      <c r="E31" s="29"/>
      <c r="F31" s="94"/>
      <c r="G31" s="34" t="s">
        <v>60</v>
      </c>
      <c r="H31" s="35">
        <f>30000*5</f>
        <v>150000</v>
      </c>
      <c r="I31" s="34">
        <v>0.042</v>
      </c>
      <c r="J31" s="35">
        <f t="shared" si="0"/>
        <v>6300</v>
      </c>
    </row>
    <row r="32" s="1" customFormat="1" ht="16.5" spans="1:10">
      <c r="A32" s="28"/>
      <c r="B32" s="29"/>
      <c r="C32" s="29"/>
      <c r="D32" s="73"/>
      <c r="E32" s="29"/>
      <c r="F32" s="94">
        <v>45921</v>
      </c>
      <c r="G32" s="35" t="s">
        <v>72</v>
      </c>
      <c r="H32" s="35">
        <v>14000</v>
      </c>
      <c r="I32" s="35">
        <v>0.24</v>
      </c>
      <c r="J32" s="35">
        <f t="shared" si="0"/>
        <v>3360</v>
      </c>
    </row>
    <row r="33" s="1" customFormat="1" ht="16.5" spans="1:12">
      <c r="A33" s="28"/>
      <c r="B33" s="29"/>
      <c r="C33" s="29"/>
      <c r="D33" s="73"/>
      <c r="E33" s="29"/>
      <c r="F33" s="94"/>
      <c r="G33" s="34" t="s">
        <v>22</v>
      </c>
      <c r="H33" s="35">
        <v>14000</v>
      </c>
      <c r="I33" s="34">
        <v>0.11</v>
      </c>
      <c r="J33" s="35">
        <f t="shared" si="0"/>
        <v>1540</v>
      </c>
    </row>
    <row r="34" s="1" customFormat="1" ht="16.5" spans="1:12">
      <c r="A34" s="28"/>
      <c r="B34" s="29"/>
      <c r="C34" s="29"/>
      <c r="D34" s="73"/>
      <c r="E34" s="29"/>
      <c r="F34" s="94"/>
      <c r="G34" s="34" t="s">
        <v>22</v>
      </c>
      <c r="H34" s="35">
        <v>16000</v>
      </c>
      <c r="I34" s="34">
        <v>0.11</v>
      </c>
      <c r="J34" s="35">
        <f t="shared" si="0"/>
        <v>1760</v>
      </c>
    </row>
    <row r="35" s="1" customFormat="1" ht="16.5" spans="1:12">
      <c r="A35" s="28"/>
      <c r="B35" s="29"/>
      <c r="C35" s="29"/>
      <c r="D35" s="73"/>
      <c r="E35" s="29"/>
      <c r="F35" s="94">
        <v>45924</v>
      </c>
      <c r="G35" s="35" t="s">
        <v>72</v>
      </c>
      <c r="H35" s="35">
        <v>8000</v>
      </c>
      <c r="I35" s="35">
        <v>0.24</v>
      </c>
      <c r="J35" s="35">
        <f t="shared" si="0"/>
        <v>1920</v>
      </c>
    </row>
    <row r="36" ht="16.5" spans="1:12">
      <c r="A36" s="136">
        <v>45924</v>
      </c>
      <c r="B36" s="137" t="s">
        <v>117</v>
      </c>
      <c r="C36" s="138">
        <v>88813</v>
      </c>
      <c r="D36" s="139" t="s">
        <v>140</v>
      </c>
      <c r="E36" s="137" t="s">
        <v>141</v>
      </c>
      <c r="F36" s="136">
        <v>45924</v>
      </c>
      <c r="G36" s="112" t="s">
        <v>142</v>
      </c>
      <c r="H36" s="140">
        <v>230</v>
      </c>
      <c r="I36" s="140">
        <v>0.89</v>
      </c>
      <c r="J36" s="112">
        <f t="shared" si="0"/>
        <v>204.7</v>
      </c>
    </row>
    <row r="37" ht="16.5" spans="1:12">
      <c r="A37" s="136"/>
      <c r="B37" s="137"/>
      <c r="C37" s="138"/>
      <c r="D37" s="139"/>
      <c r="E37" s="137"/>
      <c r="F37" s="136"/>
      <c r="G37" s="112" t="s">
        <v>130</v>
      </c>
      <c r="H37" s="140">
        <v>2</v>
      </c>
      <c r="I37" s="140">
        <v>0</v>
      </c>
      <c r="J37" s="112">
        <f t="shared" si="0"/>
        <v>0</v>
      </c>
    </row>
    <row r="38" ht="16.5" spans="1:12">
      <c r="A38" s="28">
        <v>45938</v>
      </c>
      <c r="B38" s="29" t="s">
        <v>117</v>
      </c>
      <c r="C38" s="65" t="s">
        <v>143</v>
      </c>
      <c r="D38" s="73" t="s">
        <v>144</v>
      </c>
      <c r="E38" s="29" t="s">
        <v>145</v>
      </c>
      <c r="F38" s="28">
        <v>45951</v>
      </c>
      <c r="G38" s="35" t="s">
        <v>146</v>
      </c>
      <c r="H38" s="35">
        <f>16000+4200+3800</f>
        <v>24000</v>
      </c>
      <c r="I38" s="34">
        <v>0.85</v>
      </c>
      <c r="J38" s="35">
        <f t="shared" si="0"/>
        <v>20400</v>
      </c>
    </row>
    <row r="39" ht="16.5" spans="1:12">
      <c r="A39" s="28"/>
      <c r="B39" s="29"/>
      <c r="C39" s="65"/>
      <c r="D39" s="73"/>
      <c r="E39" s="29"/>
      <c r="F39" s="28"/>
      <c r="G39" s="35" t="s">
        <v>147</v>
      </c>
      <c r="H39" s="35">
        <f>24000*0.01</f>
        <v>240</v>
      </c>
      <c r="I39" s="34">
        <v>0</v>
      </c>
      <c r="J39" s="35">
        <f t="shared" si="0"/>
        <v>0</v>
      </c>
    </row>
    <row r="40" ht="16.5" spans="1:12">
      <c r="A40" s="28"/>
      <c r="B40" s="29"/>
      <c r="C40" s="65"/>
      <c r="D40" s="73"/>
      <c r="E40" s="29"/>
      <c r="F40" s="28"/>
      <c r="G40" s="35" t="s">
        <v>148</v>
      </c>
      <c r="H40" s="35">
        <f>5*5*2+5</f>
        <v>55</v>
      </c>
      <c r="I40" s="34">
        <v>0</v>
      </c>
      <c r="J40" s="35">
        <f t="shared" si="0"/>
        <v>0</v>
      </c>
    </row>
    <row r="41" ht="16.5" spans="1:12">
      <c r="A41" s="28"/>
      <c r="B41" s="29"/>
      <c r="C41" s="65"/>
      <c r="D41" s="73"/>
      <c r="E41" s="29"/>
      <c r="F41" s="28">
        <v>45950</v>
      </c>
      <c r="G41" s="34" t="s">
        <v>60</v>
      </c>
      <c r="H41" s="35">
        <f>24000*5</f>
        <v>120000</v>
      </c>
      <c r="I41" s="34">
        <v>0.042</v>
      </c>
      <c r="J41" s="35">
        <f t="shared" si="0"/>
        <v>5040</v>
      </c>
    </row>
    <row r="42" ht="16.5" spans="1:12">
      <c r="A42" s="28"/>
      <c r="B42" s="29"/>
      <c r="C42" s="65"/>
      <c r="D42" s="73"/>
      <c r="E42" s="29"/>
      <c r="F42" s="28"/>
      <c r="G42" s="34" t="s">
        <v>149</v>
      </c>
      <c r="H42" s="35">
        <v>24000</v>
      </c>
      <c r="I42" s="34">
        <v>0.027</v>
      </c>
      <c r="J42" s="35">
        <f t="shared" si="0"/>
        <v>648</v>
      </c>
    </row>
    <row r="43" ht="16.5" spans="1:12">
      <c r="A43" s="28"/>
      <c r="B43" s="29"/>
      <c r="C43" s="65"/>
      <c r="D43" s="73"/>
      <c r="E43" s="29"/>
      <c r="F43" s="28">
        <v>45953</v>
      </c>
      <c r="G43" s="35" t="s">
        <v>72</v>
      </c>
      <c r="H43" s="35">
        <v>24000</v>
      </c>
      <c r="I43" s="35">
        <v>0.24</v>
      </c>
      <c r="J43" s="35">
        <f t="shared" si="0"/>
        <v>5760</v>
      </c>
    </row>
    <row r="44" ht="16.5" spans="1:12">
      <c r="A44" s="28"/>
      <c r="B44" s="29"/>
      <c r="C44" s="65"/>
      <c r="D44" s="73"/>
      <c r="E44" s="29"/>
      <c r="F44" s="28"/>
      <c r="G44" s="34" t="s">
        <v>22</v>
      </c>
      <c r="H44" s="35">
        <v>24000</v>
      </c>
      <c r="I44" s="34">
        <v>0.11</v>
      </c>
      <c r="J44" s="35">
        <f t="shared" si="0"/>
        <v>2640</v>
      </c>
    </row>
    <row r="45" ht="16.5" spans="1:12">
      <c r="A45" s="113"/>
      <c r="B45" s="113"/>
      <c r="C45" s="114"/>
      <c r="D45" s="115"/>
      <c r="E45" s="113"/>
      <c r="F45" s="113"/>
      <c r="G45" s="116"/>
      <c r="H45" s="117"/>
      <c r="I45" s="116"/>
      <c r="J45" s="118">
        <f>SUM(J3:J44)</f>
        <v>124275.248</v>
      </c>
    </row>
    <row r="46" ht="16.5" spans="1:12">
      <c r="C46"/>
      <c r="F46"/>
      <c r="I46" s="119" t="s">
        <v>150</v>
      </c>
      <c r="J46" s="92">
        <f>114267.85-111627.85</f>
        <v>2640</v>
      </c>
      <c r="K46" t="s">
        <v>151</v>
      </c>
    </row>
    <row r="47" ht="16.5" spans="1:12">
      <c r="C47"/>
      <c r="F47"/>
      <c r="I47" s="119" t="s">
        <v>152</v>
      </c>
      <c r="J47" s="92">
        <f>71875.34-69598.66-3936.52</f>
        <v>-1659.84000000001</v>
      </c>
      <c r="K47" t="s">
        <v>153</v>
      </c>
      <c r="L47" s="83"/>
    </row>
    <row r="48" ht="16.5" spans="1:12">
      <c r="C48"/>
      <c r="F48"/>
      <c r="I48" s="119" t="s">
        <v>154</v>
      </c>
      <c r="J48" s="93">
        <f>29918.594-33735.63</f>
        <v>-3817.036</v>
      </c>
    </row>
    <row r="49" ht="16.5" spans="1:13">
      <c r="C49"/>
      <c r="F49"/>
      <c r="I49" s="119" t="s">
        <v>155</v>
      </c>
      <c r="J49" s="93">
        <f>48270.88-49170.68</f>
        <v>-899.800000000003</v>
      </c>
    </row>
    <row r="50" ht="16.5" spans="1:13">
      <c r="C50"/>
      <c r="F50"/>
      <c r="I50" s="119" t="s">
        <v>156</v>
      </c>
      <c r="J50" s="92">
        <f>115139.4-116739.4</f>
        <v>-1600</v>
      </c>
    </row>
    <row r="51" ht="16.5" spans="1:13">
      <c r="C51"/>
      <c r="F51"/>
      <c r="I51" s="119" t="s">
        <v>157</v>
      </c>
      <c r="J51" s="92">
        <f>8909.819-8953.819</f>
        <v>-44</v>
      </c>
    </row>
    <row r="52" ht="16.5" spans="1:13">
      <c r="C52"/>
      <c r="F52"/>
      <c r="I52" s="119" t="s">
        <v>158</v>
      </c>
      <c r="J52" s="93">
        <f>J45+J46+J47+J48+J49+J50+J51</f>
        <v>118894.572</v>
      </c>
    </row>
    <row r="53" spans="1:13">
      <c r="C53"/>
      <c r="F53"/>
    </row>
    <row r="54" spans="1:13">
      <c r="C54"/>
      <c r="F54"/>
    </row>
    <row r="55" spans="1:13">
      <c r="C55"/>
      <c r="F55"/>
    </row>
    <row r="56" ht="28.5" spans="1:13">
      <c r="A56" s="49" t="s">
        <v>159</v>
      </c>
      <c r="B56" s="49"/>
      <c r="C56" s="49"/>
      <c r="D56" s="49"/>
      <c r="E56" s="49"/>
      <c r="F56" s="49"/>
      <c r="G56" s="49"/>
      <c r="H56" s="49"/>
      <c r="I56" s="49"/>
      <c r="J56" s="49"/>
    </row>
    <row r="57" ht="14.5" spans="1:13">
      <c r="A57" s="50" t="s">
        <v>160</v>
      </c>
      <c r="B57" s="50" t="s">
        <v>161</v>
      </c>
      <c r="C57" s="50" t="s">
        <v>162</v>
      </c>
      <c r="D57" s="50" t="s">
        <v>163</v>
      </c>
      <c r="E57" s="50" t="s">
        <v>164</v>
      </c>
      <c r="F57" s="51" t="s">
        <v>165</v>
      </c>
      <c r="G57" s="50" t="s">
        <v>166</v>
      </c>
      <c r="H57" s="50" t="s">
        <v>167</v>
      </c>
      <c r="I57" s="50" t="s">
        <v>168</v>
      </c>
      <c r="J57" s="50" t="s">
        <v>169</v>
      </c>
    </row>
    <row r="58" s="1" customFormat="1" ht="28.5" spans="1:13">
      <c r="A58" s="50"/>
      <c r="B58" s="50"/>
      <c r="C58" s="50"/>
      <c r="D58" s="50" t="s">
        <v>170</v>
      </c>
      <c r="E58" s="50"/>
      <c r="F58" s="51" t="s">
        <v>171</v>
      </c>
      <c r="G58" s="50"/>
      <c r="H58" s="50"/>
      <c r="I58" s="52" t="s">
        <v>172</v>
      </c>
      <c r="J58" s="50"/>
    </row>
    <row r="59" ht="28" spans="1:13">
      <c r="A59" s="133">
        <v>1</v>
      </c>
      <c r="B59" s="134">
        <v>45980</v>
      </c>
      <c r="C59" s="123" t="s">
        <v>173</v>
      </c>
      <c r="D59" s="123" t="s">
        <v>174</v>
      </c>
      <c r="E59" s="123" t="s">
        <v>175</v>
      </c>
      <c r="F59" s="123" t="s">
        <v>175</v>
      </c>
      <c r="G59" s="123" t="s">
        <v>175</v>
      </c>
      <c r="H59" s="123"/>
      <c r="I59" s="135">
        <v>7866.7</v>
      </c>
      <c r="J59" s="123"/>
      <c r="K59" t="s">
        <v>176</v>
      </c>
      <c r="L59">
        <f>3900.42+1332.02+2634.26</f>
        <v>7866.7</v>
      </c>
      <c r="M59" t="s">
        <v>176</v>
      </c>
    </row>
    <row r="60" ht="28" spans="1:13">
      <c r="A60" s="133">
        <v>1</v>
      </c>
      <c r="B60" s="134">
        <v>45980</v>
      </c>
      <c r="C60" s="123" t="s">
        <v>173</v>
      </c>
      <c r="D60" s="123" t="s">
        <v>174</v>
      </c>
      <c r="E60" s="123" t="s">
        <v>175</v>
      </c>
      <c r="F60" s="123" t="s">
        <v>175</v>
      </c>
      <c r="G60" s="123" t="s">
        <v>175</v>
      </c>
      <c r="H60" s="123"/>
      <c r="I60" s="135">
        <v>14530</v>
      </c>
      <c r="J60" s="123"/>
      <c r="K60" t="s">
        <v>176</v>
      </c>
      <c r="L60">
        <f>8659+2736+3135</f>
        <v>14530</v>
      </c>
      <c r="M60" t="s">
        <v>176</v>
      </c>
    </row>
    <row r="61" ht="28" spans="1:13">
      <c r="A61" s="133">
        <v>1</v>
      </c>
      <c r="B61" s="134">
        <v>45980</v>
      </c>
      <c r="C61" s="123" t="s">
        <v>173</v>
      </c>
      <c r="D61" s="123" t="s">
        <v>174</v>
      </c>
      <c r="E61" s="123" t="s">
        <v>175</v>
      </c>
      <c r="F61" s="123" t="s">
        <v>175</v>
      </c>
      <c r="G61" s="123" t="s">
        <v>175</v>
      </c>
      <c r="H61" s="123"/>
      <c r="I61" s="135">
        <v>17468</v>
      </c>
      <c r="J61" s="123"/>
      <c r="K61" t="s">
        <v>177</v>
      </c>
      <c r="L61">
        <f>11770+1848+3850</f>
        <v>17468</v>
      </c>
      <c r="M61" t="s">
        <v>178</v>
      </c>
    </row>
  </sheetData>
  <autoFilter xmlns:etc="http://www.wps.cn/officeDocument/2017/etCustomData" ref="A1:J52" etc:filterBottomFollowUsedRange="0">
    <extLst/>
  </autoFilter>
  <mergeCells count="56">
    <mergeCell ref="A1:J1"/>
    <mergeCell ref="A56:J56"/>
    <mergeCell ref="A3:A7"/>
    <mergeCell ref="A8:A13"/>
    <mergeCell ref="A14:A20"/>
    <mergeCell ref="A21:A26"/>
    <mergeCell ref="A27:A35"/>
    <mergeCell ref="A36:A37"/>
    <mergeCell ref="A38:A44"/>
    <mergeCell ref="A57:A58"/>
    <mergeCell ref="B3:B7"/>
    <mergeCell ref="B8:B13"/>
    <mergeCell ref="B14:B20"/>
    <mergeCell ref="B21:B26"/>
    <mergeCell ref="B27:B35"/>
    <mergeCell ref="B36:B37"/>
    <mergeCell ref="B38:B44"/>
    <mergeCell ref="B57:B58"/>
    <mergeCell ref="C3:C7"/>
    <mergeCell ref="C8:C13"/>
    <mergeCell ref="C14:C20"/>
    <mergeCell ref="C21:C26"/>
    <mergeCell ref="C27:C35"/>
    <mergeCell ref="C36:C37"/>
    <mergeCell ref="C38:C44"/>
    <mergeCell ref="C57:C58"/>
    <mergeCell ref="D3:D7"/>
    <mergeCell ref="D8:D13"/>
    <mergeCell ref="D14:D20"/>
    <mergeCell ref="D21:D26"/>
    <mergeCell ref="D27:D35"/>
    <mergeCell ref="D36:D37"/>
    <mergeCell ref="D38:D44"/>
    <mergeCell ref="E3:E7"/>
    <mergeCell ref="E8:E13"/>
    <mergeCell ref="E14:E20"/>
    <mergeCell ref="E21:E26"/>
    <mergeCell ref="E27:E35"/>
    <mergeCell ref="E36:E37"/>
    <mergeCell ref="E38:E44"/>
    <mergeCell ref="E57:E58"/>
    <mergeCell ref="F3:F6"/>
    <mergeCell ref="F8:F12"/>
    <mergeCell ref="F14:F16"/>
    <mergeCell ref="F17:F18"/>
    <mergeCell ref="F19:F20"/>
    <mergeCell ref="F21:F26"/>
    <mergeCell ref="F27:F31"/>
    <mergeCell ref="F32:F34"/>
    <mergeCell ref="F36:F37"/>
    <mergeCell ref="F38:F40"/>
    <mergeCell ref="F41:F42"/>
    <mergeCell ref="F43:F44"/>
    <mergeCell ref="G57:G58"/>
    <mergeCell ref="H57:H58"/>
    <mergeCell ref="J57:J5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opLeftCell="A24" workbookViewId="0">
      <selection activeCell="L41" sqref="L41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20.8181818181818" hidden="1" customWidth="1"/>
    <col min="12" max="12" width="9.54545454545454" customWidth="1"/>
    <col min="13" max="13" width="9.54545454545454"/>
    <col min="16" max="16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97">
        <v>45890</v>
      </c>
      <c r="B3" s="98" t="s">
        <v>117</v>
      </c>
      <c r="C3" s="99" t="s">
        <v>118</v>
      </c>
      <c r="D3" s="100" t="s">
        <v>119</v>
      </c>
      <c r="E3" s="98" t="s">
        <v>120</v>
      </c>
      <c r="F3" s="97">
        <v>45896</v>
      </c>
      <c r="G3" s="101" t="s">
        <v>87</v>
      </c>
      <c r="H3" s="101">
        <v>8000</v>
      </c>
      <c r="I3" s="102">
        <v>1.07</v>
      </c>
      <c r="J3" s="101">
        <f t="shared" ref="J3:J44" si="0">H3*I3</f>
        <v>8560</v>
      </c>
    </row>
    <row r="4" ht="16.5" spans="1:10">
      <c r="A4" s="97"/>
      <c r="B4" s="98"/>
      <c r="C4" s="98"/>
      <c r="D4" s="100"/>
      <c r="E4" s="98"/>
      <c r="F4" s="97"/>
      <c r="G4" s="101" t="s">
        <v>69</v>
      </c>
      <c r="H4" s="101">
        <f>8000*0.01</f>
        <v>80</v>
      </c>
      <c r="I4" s="102">
        <v>0</v>
      </c>
      <c r="J4" s="101">
        <f t="shared" si="0"/>
        <v>0</v>
      </c>
    </row>
    <row r="5" ht="16.5" spans="1:10">
      <c r="A5" s="97"/>
      <c r="B5" s="98"/>
      <c r="C5" s="98"/>
      <c r="D5" s="100"/>
      <c r="E5" s="98"/>
      <c r="F5" s="97"/>
      <c r="G5" s="101" t="s">
        <v>72</v>
      </c>
      <c r="H5" s="101">
        <v>8000</v>
      </c>
      <c r="I5" s="101">
        <v>0.24</v>
      </c>
      <c r="J5" s="101">
        <f t="shared" si="0"/>
        <v>1920</v>
      </c>
    </row>
    <row r="6" ht="16.5" spans="1:10">
      <c r="A6" s="97"/>
      <c r="B6" s="98"/>
      <c r="C6" s="98"/>
      <c r="D6" s="100"/>
      <c r="E6" s="98"/>
      <c r="F6" s="97"/>
      <c r="G6" s="102" t="s">
        <v>22</v>
      </c>
      <c r="H6" s="101">
        <f>4000+4000</f>
        <v>8000</v>
      </c>
      <c r="I6" s="102">
        <v>0.11</v>
      </c>
      <c r="J6" s="101">
        <f t="shared" si="0"/>
        <v>880</v>
      </c>
    </row>
    <row r="7" ht="16.5" spans="1:10">
      <c r="A7" s="97"/>
      <c r="B7" s="98"/>
      <c r="C7" s="98"/>
      <c r="D7" s="100"/>
      <c r="E7" s="98"/>
      <c r="F7" s="97">
        <v>45895</v>
      </c>
      <c r="G7" s="102" t="s">
        <v>106</v>
      </c>
      <c r="H7" s="101">
        <f>8000*4</f>
        <v>32000</v>
      </c>
      <c r="I7" s="102">
        <v>0.042</v>
      </c>
      <c r="J7" s="101">
        <f t="shared" si="0"/>
        <v>1344</v>
      </c>
    </row>
    <row r="8" ht="16.5" spans="1:10">
      <c r="A8" s="97">
        <v>45890</v>
      </c>
      <c r="B8" s="98" t="s">
        <v>117</v>
      </c>
      <c r="C8" s="99" t="s">
        <v>121</v>
      </c>
      <c r="D8" s="100" t="s">
        <v>122</v>
      </c>
      <c r="E8" s="98" t="s">
        <v>123</v>
      </c>
      <c r="F8" s="97">
        <v>45896</v>
      </c>
      <c r="G8" s="101" t="s">
        <v>87</v>
      </c>
      <c r="H8" s="101">
        <v>3000</v>
      </c>
      <c r="I8" s="102">
        <v>1.07</v>
      </c>
      <c r="J8" s="101">
        <f t="shared" si="0"/>
        <v>3210</v>
      </c>
    </row>
    <row r="9" ht="16.5" spans="1:10">
      <c r="A9" s="97"/>
      <c r="B9" s="98"/>
      <c r="C9" s="98"/>
      <c r="D9" s="100"/>
      <c r="E9" s="98"/>
      <c r="F9" s="97"/>
      <c r="G9" s="101" t="s">
        <v>69</v>
      </c>
      <c r="H9" s="101">
        <f>3000*0.01</f>
        <v>30</v>
      </c>
      <c r="I9" s="102">
        <v>0</v>
      </c>
      <c r="J9" s="101">
        <f t="shared" si="0"/>
        <v>0</v>
      </c>
    </row>
    <row r="10" ht="16.5" spans="1:10">
      <c r="A10" s="97"/>
      <c r="B10" s="98"/>
      <c r="C10" s="98"/>
      <c r="D10" s="100"/>
      <c r="E10" s="98"/>
      <c r="F10" s="97"/>
      <c r="G10" s="101" t="s">
        <v>70</v>
      </c>
      <c r="H10" s="101">
        <f>5*5</f>
        <v>25</v>
      </c>
      <c r="I10" s="102">
        <v>0</v>
      </c>
      <c r="J10" s="101">
        <f t="shared" si="0"/>
        <v>0</v>
      </c>
    </row>
    <row r="11" ht="16.5" spans="1:10">
      <c r="A11" s="97"/>
      <c r="B11" s="98"/>
      <c r="C11" s="98"/>
      <c r="D11" s="100"/>
      <c r="E11" s="98"/>
      <c r="F11" s="97"/>
      <c r="G11" s="101" t="s">
        <v>72</v>
      </c>
      <c r="H11" s="101">
        <f>2000+1000</f>
        <v>3000</v>
      </c>
      <c r="I11" s="101">
        <v>0.24</v>
      </c>
      <c r="J11" s="101">
        <f t="shared" si="0"/>
        <v>720</v>
      </c>
    </row>
    <row r="12" ht="16.5" spans="1:10">
      <c r="A12" s="97"/>
      <c r="B12" s="98"/>
      <c r="C12" s="98"/>
      <c r="D12" s="100"/>
      <c r="E12" s="98"/>
      <c r="F12" s="97"/>
      <c r="G12" s="102" t="s">
        <v>22</v>
      </c>
      <c r="H12" s="101">
        <v>3000</v>
      </c>
      <c r="I12" s="102">
        <v>0.11</v>
      </c>
      <c r="J12" s="101">
        <f t="shared" si="0"/>
        <v>330</v>
      </c>
    </row>
    <row r="13" ht="16.5" spans="1:10">
      <c r="A13" s="97"/>
      <c r="B13" s="98"/>
      <c r="C13" s="98"/>
      <c r="D13" s="100"/>
      <c r="E13" s="98"/>
      <c r="F13" s="97">
        <v>45895</v>
      </c>
      <c r="G13" s="102" t="s">
        <v>106</v>
      </c>
      <c r="H13" s="101">
        <f>3000*4</f>
        <v>12000</v>
      </c>
      <c r="I13" s="102">
        <v>0.042</v>
      </c>
      <c r="J13" s="101">
        <f t="shared" si="0"/>
        <v>504</v>
      </c>
    </row>
    <row r="14" ht="16.5" spans="1:10">
      <c r="A14" s="97">
        <v>45890</v>
      </c>
      <c r="B14" s="98" t="s">
        <v>117</v>
      </c>
      <c r="C14" s="99">
        <v>88375</v>
      </c>
      <c r="D14" s="100" t="s">
        <v>124</v>
      </c>
      <c r="E14" s="98" t="s">
        <v>125</v>
      </c>
      <c r="F14" s="97">
        <v>45896</v>
      </c>
      <c r="G14" s="101" t="s">
        <v>72</v>
      </c>
      <c r="H14" s="103">
        <v>4500</v>
      </c>
      <c r="I14" s="103">
        <v>0.24</v>
      </c>
      <c r="J14" s="101">
        <f t="shared" si="0"/>
        <v>1080</v>
      </c>
    </row>
    <row r="15" ht="16.5" spans="1:10">
      <c r="A15" s="97"/>
      <c r="B15" s="98"/>
      <c r="C15" s="99"/>
      <c r="D15" s="100"/>
      <c r="E15" s="98"/>
      <c r="F15" s="97"/>
      <c r="G15" s="102" t="s">
        <v>22</v>
      </c>
      <c r="H15" s="103">
        <v>4500</v>
      </c>
      <c r="I15" s="103">
        <v>0.11</v>
      </c>
      <c r="J15" s="101">
        <f t="shared" si="0"/>
        <v>495</v>
      </c>
    </row>
    <row r="16" ht="16.5" spans="1:10">
      <c r="A16" s="97"/>
      <c r="B16" s="98"/>
      <c r="C16" s="99"/>
      <c r="D16" s="100"/>
      <c r="E16" s="98"/>
      <c r="F16" s="97"/>
      <c r="G16" s="101" t="s">
        <v>126</v>
      </c>
      <c r="H16" s="103">
        <v>4500</v>
      </c>
      <c r="I16" s="103">
        <v>0.22</v>
      </c>
      <c r="J16" s="101">
        <f t="shared" si="0"/>
        <v>990</v>
      </c>
    </row>
    <row r="17" ht="16.5" spans="1:10">
      <c r="A17" s="97"/>
      <c r="B17" s="98"/>
      <c r="C17" s="99"/>
      <c r="D17" s="100"/>
      <c r="E17" s="98"/>
      <c r="F17" s="97">
        <v>45895</v>
      </c>
      <c r="G17" s="102" t="s">
        <v>127</v>
      </c>
      <c r="H17" s="103">
        <f>4500*4</f>
        <v>18000</v>
      </c>
      <c r="I17" s="103">
        <v>0.042</v>
      </c>
      <c r="J17" s="101">
        <f t="shared" si="0"/>
        <v>756</v>
      </c>
    </row>
    <row r="18" ht="16.5" spans="1:10">
      <c r="A18" s="97"/>
      <c r="B18" s="98"/>
      <c r="C18" s="99"/>
      <c r="D18" s="100"/>
      <c r="E18" s="98"/>
      <c r="F18" s="97"/>
      <c r="G18" s="102" t="s">
        <v>128</v>
      </c>
      <c r="H18" s="103">
        <v>4500</v>
      </c>
      <c r="I18" s="103">
        <v>0.12</v>
      </c>
      <c r="J18" s="101">
        <f t="shared" si="0"/>
        <v>540</v>
      </c>
    </row>
    <row r="19" ht="16.5" spans="1:10">
      <c r="A19" s="97"/>
      <c r="B19" s="98"/>
      <c r="C19" s="99"/>
      <c r="D19" s="100"/>
      <c r="E19" s="98"/>
      <c r="F19" s="97">
        <v>45896</v>
      </c>
      <c r="G19" s="102" t="s">
        <v>129</v>
      </c>
      <c r="H19" s="103">
        <v>4500</v>
      </c>
      <c r="I19" s="103">
        <v>0.89</v>
      </c>
      <c r="J19" s="101">
        <f t="shared" si="0"/>
        <v>4005</v>
      </c>
    </row>
    <row r="20" ht="16.5" spans="1:10">
      <c r="A20" s="97"/>
      <c r="B20" s="98"/>
      <c r="C20" s="99"/>
      <c r="D20" s="100"/>
      <c r="E20" s="98"/>
      <c r="F20" s="97"/>
      <c r="G20" s="102" t="s">
        <v>130</v>
      </c>
      <c r="H20" s="103">
        <f>H19*0.01</f>
        <v>45</v>
      </c>
      <c r="I20" s="103">
        <v>0</v>
      </c>
      <c r="J20" s="101">
        <f t="shared" si="0"/>
        <v>0</v>
      </c>
    </row>
    <row r="21" ht="16.5" spans="1:10">
      <c r="A21" s="97">
        <v>45896</v>
      </c>
      <c r="B21" s="98" t="s">
        <v>117</v>
      </c>
      <c r="C21" s="99">
        <v>88813</v>
      </c>
      <c r="D21" s="100" t="s">
        <v>131</v>
      </c>
      <c r="E21" s="98" t="s">
        <v>132</v>
      </c>
      <c r="F21" s="97">
        <v>45903</v>
      </c>
      <c r="G21" s="101" t="s">
        <v>22</v>
      </c>
      <c r="H21" s="104">
        <v>9500</v>
      </c>
      <c r="I21" s="104">
        <v>0.11</v>
      </c>
      <c r="J21" s="101">
        <f t="shared" si="0"/>
        <v>1045</v>
      </c>
    </row>
    <row r="22" ht="16.5" spans="1:10">
      <c r="A22" s="97"/>
      <c r="B22" s="98"/>
      <c r="C22" s="99"/>
      <c r="D22" s="100"/>
      <c r="E22" s="98"/>
      <c r="F22" s="97"/>
      <c r="G22" s="101" t="s">
        <v>126</v>
      </c>
      <c r="H22" s="104">
        <v>9500</v>
      </c>
      <c r="I22" s="104">
        <v>0.22</v>
      </c>
      <c r="J22" s="101">
        <f t="shared" si="0"/>
        <v>2090</v>
      </c>
    </row>
    <row r="23" ht="16.5" spans="1:10">
      <c r="A23" s="97"/>
      <c r="B23" s="98"/>
      <c r="C23" s="99"/>
      <c r="D23" s="100"/>
      <c r="E23" s="98"/>
      <c r="F23" s="97"/>
      <c r="G23" s="102" t="s">
        <v>127</v>
      </c>
      <c r="H23" s="103">
        <f>9500*4</f>
        <v>38000</v>
      </c>
      <c r="I23" s="103">
        <v>0.042</v>
      </c>
      <c r="J23" s="101">
        <f t="shared" si="0"/>
        <v>1596</v>
      </c>
    </row>
    <row r="24" ht="16.5" spans="1:10">
      <c r="A24" s="97"/>
      <c r="B24" s="98"/>
      <c r="C24" s="99"/>
      <c r="D24" s="100"/>
      <c r="E24" s="98"/>
      <c r="F24" s="97"/>
      <c r="G24" s="102" t="s">
        <v>128</v>
      </c>
      <c r="H24" s="103">
        <v>9500</v>
      </c>
      <c r="I24" s="103">
        <v>0.12</v>
      </c>
      <c r="J24" s="101">
        <f t="shared" si="0"/>
        <v>1140</v>
      </c>
    </row>
    <row r="25" ht="16.5" spans="1:10">
      <c r="A25" s="97"/>
      <c r="B25" s="98"/>
      <c r="C25" s="99"/>
      <c r="D25" s="100"/>
      <c r="E25" s="98"/>
      <c r="F25" s="97"/>
      <c r="G25" s="101" t="s">
        <v>129</v>
      </c>
      <c r="H25" s="104">
        <v>9500</v>
      </c>
      <c r="I25" s="104">
        <v>0.89</v>
      </c>
      <c r="J25" s="101">
        <f t="shared" si="0"/>
        <v>8455</v>
      </c>
    </row>
    <row r="26" ht="16.5" spans="1:10">
      <c r="A26" s="97"/>
      <c r="B26" s="98"/>
      <c r="C26" s="99"/>
      <c r="D26" s="100"/>
      <c r="E26" s="98"/>
      <c r="F26" s="97"/>
      <c r="G26" s="101" t="s">
        <v>130</v>
      </c>
      <c r="H26" s="104">
        <f>9500*0.01</f>
        <v>95</v>
      </c>
      <c r="I26" s="104">
        <v>0</v>
      </c>
      <c r="J26" s="101">
        <f t="shared" si="0"/>
        <v>0</v>
      </c>
    </row>
    <row r="27" s="1" customFormat="1" ht="16.5" spans="1:10">
      <c r="A27" s="105">
        <v>45911</v>
      </c>
      <c r="B27" s="106" t="s">
        <v>117</v>
      </c>
      <c r="C27" s="107" t="s">
        <v>133</v>
      </c>
      <c r="D27" s="108" t="s">
        <v>134</v>
      </c>
      <c r="E27" s="106" t="s">
        <v>135</v>
      </c>
      <c r="F27" s="109">
        <v>45917</v>
      </c>
      <c r="G27" s="110" t="s">
        <v>136</v>
      </c>
      <c r="H27" s="110">
        <f>6000+8000+8000+8000</f>
        <v>30000</v>
      </c>
      <c r="I27" s="111">
        <v>1.07</v>
      </c>
      <c r="J27" s="110">
        <f t="shared" si="0"/>
        <v>32100</v>
      </c>
    </row>
    <row r="28" s="1" customFormat="1" ht="16.5" spans="1:10">
      <c r="A28" s="105"/>
      <c r="B28" s="106"/>
      <c r="C28" s="106"/>
      <c r="D28" s="108"/>
      <c r="E28" s="106"/>
      <c r="F28" s="109"/>
      <c r="G28" s="110" t="s">
        <v>137</v>
      </c>
      <c r="H28" s="110">
        <f>30000*0.01</f>
        <v>300</v>
      </c>
      <c r="I28" s="111">
        <v>0</v>
      </c>
      <c r="J28" s="110">
        <f t="shared" si="0"/>
        <v>0</v>
      </c>
    </row>
    <row r="29" s="1" customFormat="1" ht="16.5" spans="1:10">
      <c r="A29" s="105"/>
      <c r="B29" s="106"/>
      <c r="C29" s="106"/>
      <c r="D29" s="108"/>
      <c r="E29" s="106"/>
      <c r="F29" s="109"/>
      <c r="G29" s="110" t="s">
        <v>138</v>
      </c>
      <c r="H29" s="110">
        <f>5*5*2+5</f>
        <v>55</v>
      </c>
      <c r="I29" s="111">
        <v>0</v>
      </c>
      <c r="J29" s="110">
        <f t="shared" si="0"/>
        <v>0</v>
      </c>
    </row>
    <row r="30" s="1" customFormat="1" ht="16.5" spans="1:10">
      <c r="A30" s="105"/>
      <c r="B30" s="106"/>
      <c r="C30" s="106"/>
      <c r="D30" s="108"/>
      <c r="E30" s="106"/>
      <c r="F30" s="109"/>
      <c r="G30" s="110" t="s">
        <v>139</v>
      </c>
      <c r="H30" s="110">
        <v>30026</v>
      </c>
      <c r="I30" s="111">
        <v>0.098</v>
      </c>
      <c r="J30" s="110">
        <f t="shared" si="0"/>
        <v>2942.548</v>
      </c>
    </row>
    <row r="31" s="1" customFormat="1" ht="16.5" spans="1:10">
      <c r="A31" s="105"/>
      <c r="B31" s="106"/>
      <c r="C31" s="106"/>
      <c r="D31" s="108"/>
      <c r="E31" s="106"/>
      <c r="F31" s="109"/>
      <c r="G31" s="111" t="s">
        <v>60</v>
      </c>
      <c r="H31" s="110">
        <f>30000*5</f>
        <v>150000</v>
      </c>
      <c r="I31" s="111">
        <v>0.042</v>
      </c>
      <c r="J31" s="110">
        <f t="shared" si="0"/>
        <v>6300</v>
      </c>
    </row>
    <row r="32" s="1" customFormat="1" ht="16.5" spans="1:10">
      <c r="A32" s="105"/>
      <c r="B32" s="106"/>
      <c r="C32" s="106"/>
      <c r="D32" s="108"/>
      <c r="E32" s="106"/>
      <c r="F32" s="109">
        <v>45921</v>
      </c>
      <c r="G32" s="110" t="s">
        <v>72</v>
      </c>
      <c r="H32" s="110">
        <v>14000</v>
      </c>
      <c r="I32" s="110">
        <v>0.24</v>
      </c>
      <c r="J32" s="110">
        <f t="shared" si="0"/>
        <v>3360</v>
      </c>
    </row>
    <row r="33" s="1" customFormat="1" ht="16.5" spans="1:12">
      <c r="A33" s="105"/>
      <c r="B33" s="106"/>
      <c r="C33" s="106"/>
      <c r="D33" s="108"/>
      <c r="E33" s="106"/>
      <c r="F33" s="109"/>
      <c r="G33" s="111" t="s">
        <v>22</v>
      </c>
      <c r="H33" s="110">
        <v>14000</v>
      </c>
      <c r="I33" s="111">
        <v>0.11</v>
      </c>
      <c r="J33" s="110">
        <f t="shared" si="0"/>
        <v>1540</v>
      </c>
    </row>
    <row r="34" s="1" customFormat="1" ht="16.5" spans="1:12">
      <c r="A34" s="105"/>
      <c r="B34" s="106"/>
      <c r="C34" s="106"/>
      <c r="D34" s="108"/>
      <c r="E34" s="106"/>
      <c r="F34" s="109"/>
      <c r="G34" s="111" t="s">
        <v>22</v>
      </c>
      <c r="H34" s="110">
        <v>16000</v>
      </c>
      <c r="I34" s="111">
        <v>0.11</v>
      </c>
      <c r="J34" s="110">
        <f t="shared" si="0"/>
        <v>1760</v>
      </c>
    </row>
    <row r="35" s="1" customFormat="1" ht="16.5" spans="1:12">
      <c r="A35" s="105"/>
      <c r="B35" s="106"/>
      <c r="C35" s="106"/>
      <c r="D35" s="108"/>
      <c r="E35" s="106"/>
      <c r="F35" s="109">
        <v>45924</v>
      </c>
      <c r="G35" s="110" t="s">
        <v>72</v>
      </c>
      <c r="H35" s="110">
        <v>8000</v>
      </c>
      <c r="I35" s="110">
        <v>0.24</v>
      </c>
      <c r="J35" s="110">
        <f t="shared" si="0"/>
        <v>1920</v>
      </c>
    </row>
    <row r="36" ht="16.5" spans="1:12">
      <c r="A36" s="97">
        <v>45924</v>
      </c>
      <c r="B36" s="98" t="s">
        <v>117</v>
      </c>
      <c r="C36" s="99">
        <v>88813</v>
      </c>
      <c r="D36" s="100" t="s">
        <v>140</v>
      </c>
      <c r="E36" s="98" t="s">
        <v>141</v>
      </c>
      <c r="F36" s="97">
        <v>45924</v>
      </c>
      <c r="G36" s="101" t="s">
        <v>142</v>
      </c>
      <c r="H36" s="104">
        <v>230</v>
      </c>
      <c r="I36" s="104">
        <v>0.89</v>
      </c>
      <c r="J36" s="101">
        <f t="shared" si="0"/>
        <v>204.7</v>
      </c>
    </row>
    <row r="37" ht="16.5" spans="1:12">
      <c r="A37" s="97"/>
      <c r="B37" s="98"/>
      <c r="C37" s="99"/>
      <c r="D37" s="100"/>
      <c r="E37" s="98"/>
      <c r="F37" s="97"/>
      <c r="G37" s="101" t="s">
        <v>130</v>
      </c>
      <c r="H37" s="104">
        <v>2</v>
      </c>
      <c r="I37" s="104">
        <v>0</v>
      </c>
      <c r="J37" s="101">
        <f t="shared" si="0"/>
        <v>0</v>
      </c>
    </row>
    <row r="38" ht="16.5" spans="1:12">
      <c r="A38" s="28">
        <v>45938</v>
      </c>
      <c r="B38" s="29" t="s">
        <v>117</v>
      </c>
      <c r="C38" s="65" t="s">
        <v>143</v>
      </c>
      <c r="D38" s="73" t="s">
        <v>144</v>
      </c>
      <c r="E38" s="29" t="s">
        <v>145</v>
      </c>
      <c r="F38" s="28">
        <v>45951</v>
      </c>
      <c r="G38" s="35" t="s">
        <v>146</v>
      </c>
      <c r="H38" s="35">
        <f>16000+4200+3800</f>
        <v>24000</v>
      </c>
      <c r="I38" s="34">
        <v>0.85</v>
      </c>
      <c r="J38" s="112">
        <f t="shared" si="0"/>
        <v>20400</v>
      </c>
    </row>
    <row r="39" ht="16.5" spans="1:12">
      <c r="A39" s="28"/>
      <c r="B39" s="29"/>
      <c r="C39" s="65"/>
      <c r="D39" s="73"/>
      <c r="E39" s="29"/>
      <c r="F39" s="28"/>
      <c r="G39" s="35" t="s">
        <v>147</v>
      </c>
      <c r="H39" s="35">
        <f>24000*0.01</f>
        <v>240</v>
      </c>
      <c r="I39" s="34">
        <v>0</v>
      </c>
      <c r="J39" s="112">
        <f t="shared" si="0"/>
        <v>0</v>
      </c>
      <c r="L39" t="s">
        <v>179</v>
      </c>
    </row>
    <row r="40" ht="16.5" spans="1:12">
      <c r="A40" s="28"/>
      <c r="B40" s="29"/>
      <c r="C40" s="65"/>
      <c r="D40" s="73"/>
      <c r="E40" s="29"/>
      <c r="F40" s="28"/>
      <c r="G40" s="35" t="s">
        <v>148</v>
      </c>
      <c r="H40" s="35">
        <f>5*5*2+5</f>
        <v>55</v>
      </c>
      <c r="I40" s="34">
        <v>0</v>
      </c>
      <c r="J40" s="112">
        <f t="shared" si="0"/>
        <v>0</v>
      </c>
    </row>
    <row r="41" ht="16.5" spans="1:12">
      <c r="A41" s="28"/>
      <c r="B41" s="29"/>
      <c r="C41" s="65"/>
      <c r="D41" s="73"/>
      <c r="E41" s="29"/>
      <c r="F41" s="28">
        <v>45950</v>
      </c>
      <c r="G41" s="34" t="s">
        <v>60</v>
      </c>
      <c r="H41" s="35">
        <f>24000*5</f>
        <v>120000</v>
      </c>
      <c r="I41" s="34">
        <v>0.042</v>
      </c>
      <c r="J41" s="112">
        <f t="shared" si="0"/>
        <v>5040</v>
      </c>
    </row>
    <row r="42" ht="16.5" spans="1:12">
      <c r="A42" s="28"/>
      <c r="B42" s="29"/>
      <c r="C42" s="65"/>
      <c r="D42" s="73"/>
      <c r="E42" s="29"/>
      <c r="F42" s="28"/>
      <c r="G42" s="34" t="s">
        <v>149</v>
      </c>
      <c r="H42" s="35">
        <v>24000</v>
      </c>
      <c r="I42" s="34">
        <v>0.027</v>
      </c>
      <c r="J42" s="112">
        <f t="shared" si="0"/>
        <v>648</v>
      </c>
    </row>
    <row r="43" ht="16.5" spans="1:12">
      <c r="A43" s="28"/>
      <c r="B43" s="29"/>
      <c r="C43" s="65"/>
      <c r="D43" s="73"/>
      <c r="E43" s="29"/>
      <c r="F43" s="28">
        <v>45953</v>
      </c>
      <c r="G43" s="35" t="s">
        <v>72</v>
      </c>
      <c r="H43" s="35">
        <v>24000</v>
      </c>
      <c r="I43" s="35">
        <v>0.24</v>
      </c>
      <c r="J43" s="112">
        <f t="shared" si="0"/>
        <v>5760</v>
      </c>
    </row>
    <row r="44" ht="16.5" spans="1:12">
      <c r="A44" s="28"/>
      <c r="B44" s="29"/>
      <c r="C44" s="65"/>
      <c r="D44" s="73"/>
      <c r="E44" s="29"/>
      <c r="F44" s="28"/>
      <c r="G44" s="34" t="s">
        <v>22</v>
      </c>
      <c r="H44" s="35">
        <v>24000</v>
      </c>
      <c r="I44" s="34">
        <v>0.11</v>
      </c>
      <c r="J44" s="112">
        <f t="shared" si="0"/>
        <v>2640</v>
      </c>
    </row>
    <row r="45" ht="16.5" spans="1:12">
      <c r="A45" s="113"/>
      <c r="B45" s="113"/>
      <c r="C45" s="114"/>
      <c r="D45" s="115"/>
      <c r="E45" s="113"/>
      <c r="F45" s="113"/>
      <c r="G45" s="116"/>
      <c r="H45" s="117"/>
      <c r="I45" s="116"/>
      <c r="J45" s="118">
        <f>SUM(J3:J44)</f>
        <v>124275.248</v>
      </c>
    </row>
    <row r="46" ht="16.5" spans="1:12">
      <c r="C46"/>
      <c r="F46"/>
      <c r="I46" s="119" t="s">
        <v>150</v>
      </c>
      <c r="J46" s="92">
        <f>114267.85-111627.85</f>
        <v>2640</v>
      </c>
      <c r="K46" t="s">
        <v>151</v>
      </c>
    </row>
    <row r="47" ht="16.5" spans="1:12">
      <c r="C47"/>
      <c r="F47"/>
      <c r="I47" s="119" t="s">
        <v>152</v>
      </c>
      <c r="J47" s="92">
        <f>71875.34-69598.66-3936.52</f>
        <v>-1659.84000000001</v>
      </c>
      <c r="K47" t="s">
        <v>153</v>
      </c>
      <c r="L47" s="83"/>
    </row>
    <row r="48" ht="16.5" spans="1:12">
      <c r="C48"/>
      <c r="F48"/>
      <c r="I48" s="119" t="s">
        <v>154</v>
      </c>
      <c r="J48" s="93">
        <f>29918.594-33735.63</f>
        <v>-3817.036</v>
      </c>
    </row>
    <row r="49" ht="16.5" spans="1:12">
      <c r="C49"/>
      <c r="F49"/>
      <c r="I49" s="119" t="s">
        <v>155</v>
      </c>
      <c r="J49" s="93">
        <f>48270.88-49170.68</f>
        <v>-899.800000000003</v>
      </c>
    </row>
    <row r="50" ht="16.5" spans="1:12">
      <c r="C50"/>
      <c r="F50"/>
      <c r="I50" s="119" t="s">
        <v>156</v>
      </c>
      <c r="J50" s="92">
        <f>115139.4-116739.4</f>
        <v>-1600</v>
      </c>
    </row>
    <row r="51" ht="16.5" spans="1:12">
      <c r="C51"/>
      <c r="F51"/>
      <c r="I51" s="119" t="s">
        <v>157</v>
      </c>
      <c r="J51" s="92">
        <f>8909.819-8953.819</f>
        <v>-44</v>
      </c>
    </row>
    <row r="52" ht="16.5" spans="1:12">
      <c r="C52"/>
      <c r="F52"/>
      <c r="I52" s="119" t="s">
        <v>158</v>
      </c>
      <c r="J52" s="93">
        <f>J45+J46+J47+J48+J49+J50+J51</f>
        <v>118894.572</v>
      </c>
    </row>
    <row r="53" spans="1:12">
      <c r="C53"/>
      <c r="F53"/>
    </row>
    <row r="54" spans="1:12">
      <c r="C54"/>
      <c r="F54"/>
    </row>
    <row r="55" spans="1:12">
      <c r="C55"/>
      <c r="F55"/>
    </row>
    <row r="56" ht="28.5" spans="1:12">
      <c r="A56" s="49" t="s">
        <v>159</v>
      </c>
      <c r="B56" s="49"/>
      <c r="C56" s="49"/>
      <c r="D56" s="49"/>
      <c r="E56" s="49"/>
      <c r="F56" s="49"/>
      <c r="G56" s="49"/>
      <c r="H56" s="49"/>
      <c r="I56" s="49"/>
      <c r="J56" s="49"/>
    </row>
    <row r="57" ht="14.5" spans="1:12">
      <c r="A57" s="50" t="s">
        <v>160</v>
      </c>
      <c r="B57" s="50" t="s">
        <v>161</v>
      </c>
      <c r="C57" s="50" t="s">
        <v>162</v>
      </c>
      <c r="D57" s="50" t="s">
        <v>163</v>
      </c>
      <c r="E57" s="50" t="s">
        <v>164</v>
      </c>
      <c r="F57" s="51" t="s">
        <v>165</v>
      </c>
      <c r="G57" s="50" t="s">
        <v>166</v>
      </c>
      <c r="H57" s="50" t="s">
        <v>167</v>
      </c>
      <c r="I57" s="50" t="s">
        <v>168</v>
      </c>
      <c r="J57" s="50" t="s">
        <v>169</v>
      </c>
    </row>
    <row r="58" s="1" customFormat="1" ht="28.5" spans="1:12">
      <c r="A58" s="50"/>
      <c r="B58" s="50"/>
      <c r="C58" s="50"/>
      <c r="D58" s="50" t="s">
        <v>170</v>
      </c>
      <c r="E58" s="50"/>
      <c r="F58" s="51" t="s">
        <v>171</v>
      </c>
      <c r="G58" s="50"/>
      <c r="H58" s="50"/>
      <c r="I58" s="52" t="s">
        <v>172</v>
      </c>
      <c r="J58" s="50"/>
    </row>
    <row r="59" ht="25" customHeight="1" spans="1:12">
      <c r="A59" s="120">
        <v>1</v>
      </c>
      <c r="B59" s="121">
        <v>46000</v>
      </c>
      <c r="C59" s="122" t="s">
        <v>173</v>
      </c>
      <c r="D59" s="122" t="s">
        <v>174</v>
      </c>
      <c r="E59" s="123" t="s">
        <v>180</v>
      </c>
      <c r="F59" s="123"/>
      <c r="G59" s="123" t="s">
        <v>181</v>
      </c>
      <c r="H59" s="123">
        <v>35.3</v>
      </c>
      <c r="I59" s="124">
        <v>41342.55</v>
      </c>
      <c r="J59" s="123"/>
      <c r="K59" t="s">
        <v>176</v>
      </c>
      <c r="L59">
        <v>32100</v>
      </c>
    </row>
    <row r="60" ht="25" customHeight="1" spans="1:12">
      <c r="A60" s="125"/>
      <c r="B60" s="126"/>
      <c r="C60" s="127"/>
      <c r="D60" s="127"/>
      <c r="E60" s="123" t="s">
        <v>182</v>
      </c>
      <c r="F60" s="123"/>
      <c r="G60" s="123" t="s">
        <v>181</v>
      </c>
      <c r="H60" s="123">
        <v>28.3</v>
      </c>
      <c r="I60" s="128"/>
      <c r="J60" s="123"/>
      <c r="L60">
        <v>6300</v>
      </c>
    </row>
    <row r="61" ht="25" customHeight="1" spans="1:12">
      <c r="A61" s="129"/>
      <c r="B61" s="130"/>
      <c r="C61" s="131"/>
      <c r="D61" s="131"/>
      <c r="E61" s="123" t="s">
        <v>183</v>
      </c>
      <c r="F61" s="123"/>
      <c r="G61" s="123" t="s">
        <v>181</v>
      </c>
      <c r="H61" s="123">
        <v>4.2</v>
      </c>
      <c r="I61" s="132"/>
      <c r="J61" s="123"/>
      <c r="L61">
        <v>2942.55</v>
      </c>
    </row>
    <row r="62" ht="25" customHeight="1" spans="1:12">
      <c r="A62" s="133">
        <v>1</v>
      </c>
      <c r="B62" s="134">
        <v>46000</v>
      </c>
      <c r="C62" s="123" t="s">
        <v>173</v>
      </c>
      <c r="D62" s="123" t="s">
        <v>174</v>
      </c>
      <c r="E62" s="123" t="s">
        <v>184</v>
      </c>
      <c r="F62" s="123"/>
      <c r="G62" s="123" t="s">
        <v>181</v>
      </c>
      <c r="H62" s="123">
        <v>48.7</v>
      </c>
      <c r="I62" s="135">
        <v>6660</v>
      </c>
      <c r="J62" s="123"/>
      <c r="K62" t="s">
        <v>176</v>
      </c>
    </row>
    <row r="63" ht="25" customHeight="1" spans="1:12">
      <c r="A63" s="133">
        <v>1</v>
      </c>
      <c r="B63" s="134">
        <v>46000</v>
      </c>
      <c r="C63" s="123" t="s">
        <v>173</v>
      </c>
      <c r="D63" s="123" t="s">
        <v>174</v>
      </c>
      <c r="E63" s="123" t="s">
        <v>184</v>
      </c>
      <c r="F63" s="123"/>
      <c r="G63" s="123" t="s">
        <v>181</v>
      </c>
      <c r="H63" s="123">
        <v>19</v>
      </c>
      <c r="I63" s="135">
        <v>1920</v>
      </c>
      <c r="J63" s="123"/>
      <c r="K63" t="s">
        <v>177</v>
      </c>
    </row>
    <row r="65" spans="9:9">
      <c r="I65" s="83"/>
    </row>
  </sheetData>
  <autoFilter xmlns:etc="http://www.wps.cn/officeDocument/2017/etCustomData" ref="A1:J52" etc:filterBottomFollowUsedRange="0">
    <extLst/>
  </autoFilter>
  <mergeCells count="61">
    <mergeCell ref="A1:J1"/>
    <mergeCell ref="A56:J56"/>
    <mergeCell ref="A3:A7"/>
    <mergeCell ref="A8:A13"/>
    <mergeCell ref="A14:A20"/>
    <mergeCell ref="A21:A26"/>
    <mergeCell ref="A27:A35"/>
    <mergeCell ref="A36:A37"/>
    <mergeCell ref="A38:A44"/>
    <mergeCell ref="A57:A58"/>
    <mergeCell ref="A59:A61"/>
    <mergeCell ref="B3:B7"/>
    <mergeCell ref="B8:B13"/>
    <mergeCell ref="B14:B20"/>
    <mergeCell ref="B21:B26"/>
    <mergeCell ref="B27:B35"/>
    <mergeCell ref="B36:B37"/>
    <mergeCell ref="B38:B44"/>
    <mergeCell ref="B57:B58"/>
    <mergeCell ref="B59:B61"/>
    <mergeCell ref="C3:C7"/>
    <mergeCell ref="C8:C13"/>
    <mergeCell ref="C14:C20"/>
    <mergeCell ref="C21:C26"/>
    <mergeCell ref="C27:C35"/>
    <mergeCell ref="C36:C37"/>
    <mergeCell ref="C38:C44"/>
    <mergeCell ref="C57:C58"/>
    <mergeCell ref="C59:C61"/>
    <mergeCell ref="D3:D7"/>
    <mergeCell ref="D8:D13"/>
    <mergeCell ref="D14:D20"/>
    <mergeCell ref="D21:D26"/>
    <mergeCell ref="D27:D35"/>
    <mergeCell ref="D36:D37"/>
    <mergeCell ref="D38:D44"/>
    <mergeCell ref="D59:D61"/>
    <mergeCell ref="E3:E7"/>
    <mergeCell ref="E8:E13"/>
    <mergeCell ref="E14:E20"/>
    <mergeCell ref="E21:E26"/>
    <mergeCell ref="E27:E35"/>
    <mergeCell ref="E36:E37"/>
    <mergeCell ref="E38:E44"/>
    <mergeCell ref="E57:E58"/>
    <mergeCell ref="F3:F6"/>
    <mergeCell ref="F8:F12"/>
    <mergeCell ref="F14:F16"/>
    <mergeCell ref="F17:F18"/>
    <mergeCell ref="F19:F20"/>
    <mergeCell ref="F21:F26"/>
    <mergeCell ref="F27:F31"/>
    <mergeCell ref="F32:F34"/>
    <mergeCell ref="F36:F37"/>
    <mergeCell ref="F38:F40"/>
    <mergeCell ref="F41:F42"/>
    <mergeCell ref="F43:F44"/>
    <mergeCell ref="G57:G58"/>
    <mergeCell ref="H57:H58"/>
    <mergeCell ref="I59:I61"/>
    <mergeCell ref="J57:J5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C13" workbookViewId="0">
      <selection activeCell="G32" sqref="G3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4545454545455" style="24" customWidth="1"/>
    <col min="4" max="4" width="22.4545454545455" customWidth="1"/>
    <col min="5" max="5" width="28.8181818181818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  <col min="11" max="11" width="12.0909090909091"/>
  </cols>
  <sheetData>
    <row r="1" s="1" customFormat="1" ht="21" spans="1:12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2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112</v>
      </c>
    </row>
    <row r="3" ht="16.5" spans="1:12">
      <c r="A3" s="28" t="s">
        <v>185</v>
      </c>
      <c r="B3" s="29" t="s">
        <v>117</v>
      </c>
      <c r="C3" s="29" t="s">
        <v>186</v>
      </c>
      <c r="D3" s="73" t="s">
        <v>187</v>
      </c>
      <c r="E3" s="29" t="s">
        <v>188</v>
      </c>
      <c r="F3" s="28" t="s">
        <v>189</v>
      </c>
      <c r="G3" s="35" t="s">
        <v>72</v>
      </c>
      <c r="H3" s="77">
        <f>1010+2450+3224+2117+1000</f>
        <v>9801</v>
      </c>
      <c r="I3" s="34">
        <v>0.039</v>
      </c>
      <c r="J3" s="80">
        <f>H3*I3</f>
        <v>382.239</v>
      </c>
      <c r="K3" s="81" t="s">
        <v>190</v>
      </c>
      <c r="L3" s="81">
        <v>6543</v>
      </c>
    </row>
    <row r="4" ht="16.5" spans="1:12">
      <c r="A4" s="28"/>
      <c r="B4" s="29"/>
      <c r="C4" s="29"/>
      <c r="D4" s="73"/>
      <c r="E4" s="29"/>
      <c r="F4" s="28"/>
      <c r="G4" s="35" t="s">
        <v>191</v>
      </c>
      <c r="H4" s="77">
        <v>98</v>
      </c>
      <c r="I4" s="34">
        <v>0</v>
      </c>
      <c r="J4" s="80">
        <f t="shared" ref="J4:J29" si="0">H4*I4</f>
        <v>0</v>
      </c>
      <c r="K4" s="82">
        <v>255.18</v>
      </c>
      <c r="L4" s="83">
        <f>L3*I3</f>
        <v>255.177</v>
      </c>
    </row>
    <row r="5" ht="16.5" spans="1:12">
      <c r="A5" s="28"/>
      <c r="B5" s="29"/>
      <c r="C5" s="29"/>
      <c r="D5" s="73"/>
      <c r="E5" s="29"/>
      <c r="F5" s="28" t="s">
        <v>192</v>
      </c>
      <c r="G5" s="35" t="s">
        <v>72</v>
      </c>
      <c r="H5" s="77">
        <f>81+198+260+170+80</f>
        <v>789</v>
      </c>
      <c r="I5" s="34">
        <v>0.039</v>
      </c>
      <c r="J5" s="80">
        <f t="shared" si="0"/>
        <v>30.771</v>
      </c>
    </row>
    <row r="6" ht="16.5" spans="1:12">
      <c r="A6" s="28"/>
      <c r="B6" s="29"/>
      <c r="C6" s="29"/>
      <c r="D6" s="73"/>
      <c r="E6" s="29"/>
      <c r="F6" s="28"/>
      <c r="G6" s="35" t="s">
        <v>191</v>
      </c>
      <c r="H6" s="77">
        <v>8</v>
      </c>
      <c r="I6" s="34">
        <v>0</v>
      </c>
      <c r="J6" s="80">
        <f t="shared" si="0"/>
        <v>0</v>
      </c>
    </row>
    <row r="7" ht="16.5" spans="1:12">
      <c r="A7" s="28" t="s">
        <v>193</v>
      </c>
      <c r="B7" s="29" t="s">
        <v>117</v>
      </c>
      <c r="C7" s="69" t="s">
        <v>194</v>
      </c>
      <c r="D7" s="73" t="s">
        <v>195</v>
      </c>
      <c r="E7" s="29" t="s">
        <v>196</v>
      </c>
      <c r="F7" s="28" t="s">
        <v>197</v>
      </c>
      <c r="G7" s="35" t="s">
        <v>72</v>
      </c>
      <c r="H7" s="84">
        <v>6500</v>
      </c>
      <c r="I7" s="84">
        <v>0.039</v>
      </c>
      <c r="J7" s="85">
        <f t="shared" si="0"/>
        <v>253.5</v>
      </c>
    </row>
    <row r="8" ht="16.5" spans="1:12">
      <c r="A8" s="28"/>
      <c r="B8" s="29"/>
      <c r="C8" s="69"/>
      <c r="D8" s="73"/>
      <c r="E8" s="29"/>
      <c r="F8" s="28" t="s">
        <v>198</v>
      </c>
      <c r="G8" s="35" t="s">
        <v>72</v>
      </c>
      <c r="H8" s="84">
        <v>6500</v>
      </c>
      <c r="I8" s="84">
        <v>0.039</v>
      </c>
      <c r="J8" s="85">
        <f t="shared" si="0"/>
        <v>253.5</v>
      </c>
    </row>
    <row r="9" ht="16.5" spans="1:12">
      <c r="A9" s="28"/>
      <c r="B9" s="29"/>
      <c r="C9" s="69"/>
      <c r="D9" s="73"/>
      <c r="E9" s="29"/>
      <c r="F9" s="28" t="s">
        <v>199</v>
      </c>
      <c r="G9" s="35" t="s">
        <v>72</v>
      </c>
      <c r="H9" s="84">
        <v>6500</v>
      </c>
      <c r="I9" s="84">
        <v>0.039</v>
      </c>
      <c r="J9" s="85">
        <f t="shared" si="0"/>
        <v>253.5</v>
      </c>
    </row>
    <row r="10" ht="16.5" spans="1:12">
      <c r="A10" s="28"/>
      <c r="B10" s="29"/>
      <c r="C10" s="69"/>
      <c r="D10" s="73"/>
      <c r="E10" s="29"/>
      <c r="F10" s="28" t="s">
        <v>200</v>
      </c>
      <c r="G10" s="35" t="s">
        <v>72</v>
      </c>
      <c r="H10" s="84">
        <v>6000</v>
      </c>
      <c r="I10" s="84">
        <v>0.039</v>
      </c>
      <c r="J10" s="85">
        <f t="shared" si="0"/>
        <v>234</v>
      </c>
    </row>
    <row r="11" ht="16.5" spans="1:12">
      <c r="A11" s="28"/>
      <c r="B11" s="29"/>
      <c r="C11" s="69"/>
      <c r="D11" s="73"/>
      <c r="E11" s="29"/>
      <c r="F11" s="28" t="s">
        <v>201</v>
      </c>
      <c r="G11" s="35" t="s">
        <v>72</v>
      </c>
      <c r="H11" s="84">
        <v>6000</v>
      </c>
      <c r="I11" s="84">
        <v>0.039</v>
      </c>
      <c r="J11" s="85">
        <f t="shared" si="0"/>
        <v>234</v>
      </c>
    </row>
    <row r="12" ht="16.5" spans="1:12">
      <c r="A12" s="28"/>
      <c r="B12" s="29"/>
      <c r="C12" s="69"/>
      <c r="D12" s="73"/>
      <c r="E12" s="29"/>
      <c r="F12" s="28" t="s">
        <v>202</v>
      </c>
      <c r="G12" s="35" t="s">
        <v>72</v>
      </c>
      <c r="H12" s="84">
        <v>4500</v>
      </c>
      <c r="I12" s="84">
        <v>0.039</v>
      </c>
      <c r="J12" s="86">
        <f t="shared" si="0"/>
        <v>175.5</v>
      </c>
    </row>
    <row r="13" ht="16.5" spans="1:12">
      <c r="A13" s="28"/>
      <c r="B13" s="29"/>
      <c r="C13" s="69"/>
      <c r="D13" s="73"/>
      <c r="E13" s="29"/>
      <c r="F13" s="28" t="s">
        <v>197</v>
      </c>
      <c r="G13" s="35" t="s">
        <v>203</v>
      </c>
      <c r="H13" s="84">
        <v>3500</v>
      </c>
      <c r="I13" s="84">
        <v>0.035</v>
      </c>
      <c r="J13" s="85">
        <f t="shared" si="0"/>
        <v>122.5</v>
      </c>
    </row>
    <row r="14" ht="16.5" spans="1:12">
      <c r="A14" s="28"/>
      <c r="B14" s="29"/>
      <c r="C14" s="69"/>
      <c r="D14" s="73"/>
      <c r="E14" s="29"/>
      <c r="F14" s="28" t="s">
        <v>198</v>
      </c>
      <c r="G14" s="35" t="s">
        <v>203</v>
      </c>
      <c r="H14" s="84">
        <v>2500</v>
      </c>
      <c r="I14" s="84">
        <v>0.035</v>
      </c>
      <c r="J14" s="85">
        <f t="shared" si="0"/>
        <v>87.5</v>
      </c>
    </row>
    <row r="15" ht="16.5" spans="1:12">
      <c r="A15" s="28"/>
      <c r="B15" s="29"/>
      <c r="C15" s="69"/>
      <c r="D15" s="73"/>
      <c r="E15" s="29"/>
      <c r="F15" s="28" t="s">
        <v>199</v>
      </c>
      <c r="G15" s="35" t="s">
        <v>203</v>
      </c>
      <c r="H15" s="84">
        <v>3000</v>
      </c>
      <c r="I15" s="84">
        <v>0.035</v>
      </c>
      <c r="J15" s="85">
        <f t="shared" si="0"/>
        <v>105</v>
      </c>
    </row>
    <row r="16" ht="16.5" spans="1:12">
      <c r="A16" s="28"/>
      <c r="B16" s="29"/>
      <c r="C16" s="69"/>
      <c r="D16" s="73"/>
      <c r="E16" s="29"/>
      <c r="F16" s="28" t="s">
        <v>201</v>
      </c>
      <c r="G16" s="35" t="s">
        <v>203</v>
      </c>
      <c r="H16" s="84">
        <v>2500</v>
      </c>
      <c r="I16" s="84">
        <v>0.035</v>
      </c>
      <c r="J16" s="85">
        <f t="shared" si="0"/>
        <v>87.5</v>
      </c>
    </row>
    <row r="17" ht="16.5" spans="1:11">
      <c r="A17" s="28"/>
      <c r="B17" s="29"/>
      <c r="C17" s="69"/>
      <c r="D17" s="73"/>
      <c r="E17" s="29"/>
      <c r="F17" s="28" t="s">
        <v>201</v>
      </c>
      <c r="G17" s="35" t="s">
        <v>203</v>
      </c>
      <c r="H17" s="84">
        <v>2500</v>
      </c>
      <c r="I17" s="84">
        <v>0.035</v>
      </c>
      <c r="J17" s="85">
        <f t="shared" si="0"/>
        <v>87.5</v>
      </c>
    </row>
    <row r="18" ht="16.5" spans="1:11">
      <c r="A18" s="28"/>
      <c r="B18" s="29"/>
      <c r="C18" s="69"/>
      <c r="D18" s="73"/>
      <c r="E18" s="29"/>
      <c r="F18" s="28" t="s">
        <v>202</v>
      </c>
      <c r="G18" s="35" t="s">
        <v>203</v>
      </c>
      <c r="H18" s="84">
        <v>2000</v>
      </c>
      <c r="I18" s="84">
        <v>0.035</v>
      </c>
      <c r="J18" s="85">
        <f t="shared" si="0"/>
        <v>70</v>
      </c>
    </row>
    <row r="19" ht="16.5" spans="1:11">
      <c r="A19" s="28"/>
      <c r="B19" s="29"/>
      <c r="C19" s="69"/>
      <c r="D19" s="73"/>
      <c r="E19" s="29"/>
      <c r="F19" s="28" t="s">
        <v>204</v>
      </c>
      <c r="G19" s="34" t="s">
        <v>205</v>
      </c>
      <c r="H19" s="84">
        <f t="shared" ref="H19:H22" si="1">2500*4</f>
        <v>10000</v>
      </c>
      <c r="I19" s="84">
        <v>0.007</v>
      </c>
      <c r="J19" s="85">
        <f t="shared" si="0"/>
        <v>70</v>
      </c>
    </row>
    <row r="20" ht="16.5" spans="1:11">
      <c r="A20" s="28"/>
      <c r="B20" s="29"/>
      <c r="C20" s="69"/>
      <c r="D20" s="73"/>
      <c r="E20" s="29"/>
      <c r="F20" s="28" t="s">
        <v>206</v>
      </c>
      <c r="G20" s="34" t="s">
        <v>205</v>
      </c>
      <c r="H20" s="84">
        <f>3000*4</f>
        <v>12000</v>
      </c>
      <c r="I20" s="84">
        <v>0.007</v>
      </c>
      <c r="J20" s="85">
        <f t="shared" si="0"/>
        <v>84</v>
      </c>
    </row>
    <row r="21" ht="16.5" spans="1:11">
      <c r="A21" s="28"/>
      <c r="B21" s="29"/>
      <c r="C21" s="69"/>
      <c r="D21" s="73"/>
      <c r="E21" s="29"/>
      <c r="F21" s="28" t="s">
        <v>207</v>
      </c>
      <c r="G21" s="34" t="s">
        <v>205</v>
      </c>
      <c r="H21" s="84">
        <f t="shared" si="1"/>
        <v>10000</v>
      </c>
      <c r="I21" s="84">
        <v>0.007</v>
      </c>
      <c r="J21" s="85">
        <f t="shared" si="0"/>
        <v>70</v>
      </c>
    </row>
    <row r="22" ht="16.5" spans="1:11">
      <c r="A22" s="28"/>
      <c r="B22" s="29"/>
      <c r="C22" s="69"/>
      <c r="D22" s="73"/>
      <c r="E22" s="29"/>
      <c r="F22" s="28" t="s">
        <v>208</v>
      </c>
      <c r="G22" s="34" t="s">
        <v>205</v>
      </c>
      <c r="H22" s="84">
        <f t="shared" si="1"/>
        <v>10000</v>
      </c>
      <c r="I22" s="84">
        <v>0.007</v>
      </c>
      <c r="J22" s="85">
        <f t="shared" si="0"/>
        <v>70</v>
      </c>
    </row>
    <row r="23" ht="16.5" spans="1:11">
      <c r="A23" s="28"/>
      <c r="B23" s="29"/>
      <c r="C23" s="69"/>
      <c r="D23" s="73"/>
      <c r="E23" s="29"/>
      <c r="F23" s="28" t="s">
        <v>209</v>
      </c>
      <c r="G23" s="34" t="s">
        <v>205</v>
      </c>
      <c r="H23" s="84">
        <f>2000*4</f>
        <v>8000</v>
      </c>
      <c r="I23" s="84">
        <v>0.007</v>
      </c>
      <c r="J23" s="85">
        <f t="shared" si="0"/>
        <v>56</v>
      </c>
    </row>
    <row r="24" ht="16.5" spans="1:11">
      <c r="A24" s="28"/>
      <c r="B24" s="29"/>
      <c r="C24" s="69"/>
      <c r="D24" s="73"/>
      <c r="E24" s="29"/>
      <c r="F24" s="28" t="s">
        <v>210</v>
      </c>
      <c r="G24" s="34" t="s">
        <v>128</v>
      </c>
      <c r="H24" s="34">
        <v>30000</v>
      </c>
      <c r="I24" s="84">
        <v>0.02</v>
      </c>
      <c r="J24" s="85">
        <f t="shared" si="0"/>
        <v>600</v>
      </c>
    </row>
    <row r="25" ht="16.5" spans="1:11">
      <c r="A25" s="28">
        <v>45860</v>
      </c>
      <c r="B25" s="29" t="s">
        <v>117</v>
      </c>
      <c r="C25" s="65" t="s">
        <v>211</v>
      </c>
      <c r="D25" s="73" t="s">
        <v>212</v>
      </c>
      <c r="E25" s="29" t="s">
        <v>213</v>
      </c>
      <c r="F25" s="28" t="s">
        <v>198</v>
      </c>
      <c r="G25" s="35" t="s">
        <v>72</v>
      </c>
      <c r="H25" s="35">
        <v>500</v>
      </c>
      <c r="I25" s="35">
        <v>0.039</v>
      </c>
      <c r="J25" s="80">
        <f t="shared" si="0"/>
        <v>19.5</v>
      </c>
    </row>
    <row r="26" ht="16.5" spans="1:11">
      <c r="A26" s="28"/>
      <c r="B26" s="29"/>
      <c r="C26" s="29"/>
      <c r="D26" s="73"/>
      <c r="E26" s="29"/>
      <c r="F26" s="28"/>
      <c r="G26" s="35" t="s">
        <v>191</v>
      </c>
      <c r="H26" s="35">
        <f>500*0.01</f>
        <v>5</v>
      </c>
      <c r="I26" s="34">
        <v>0</v>
      </c>
      <c r="J26" s="80">
        <f t="shared" si="0"/>
        <v>0</v>
      </c>
    </row>
    <row r="27" ht="33" spans="1:11">
      <c r="A27" s="28">
        <v>45902</v>
      </c>
      <c r="B27" s="29" t="s">
        <v>117</v>
      </c>
      <c r="C27" s="65">
        <v>88813</v>
      </c>
      <c r="D27" s="73" t="s">
        <v>214</v>
      </c>
      <c r="E27" s="29" t="s">
        <v>215</v>
      </c>
      <c r="F27" s="28" t="s">
        <v>216</v>
      </c>
      <c r="G27" s="34" t="s">
        <v>217</v>
      </c>
      <c r="H27" s="34">
        <f>450+690</f>
        <v>1140</v>
      </c>
      <c r="I27" s="84">
        <v>0.007</v>
      </c>
      <c r="J27" s="85">
        <f t="shared" si="0"/>
        <v>7.98</v>
      </c>
    </row>
    <row r="28" s="79" customFormat="1" ht="33" spans="1:11">
      <c r="A28" s="28">
        <v>45896</v>
      </c>
      <c r="B28" s="29" t="s">
        <v>117</v>
      </c>
      <c r="C28" s="65">
        <v>88813</v>
      </c>
      <c r="D28" s="73" t="s">
        <v>131</v>
      </c>
      <c r="E28" s="29" t="s">
        <v>132</v>
      </c>
      <c r="F28" s="28" t="s">
        <v>218</v>
      </c>
      <c r="G28" s="87" t="s">
        <v>72</v>
      </c>
      <c r="H28" s="84">
        <v>9500</v>
      </c>
      <c r="I28" s="84">
        <v>0.039</v>
      </c>
      <c r="J28" s="88">
        <f t="shared" si="0"/>
        <v>370.5</v>
      </c>
      <c r="K28" s="89"/>
    </row>
    <row r="29" ht="33" spans="1:11">
      <c r="A29" s="28">
        <v>45946</v>
      </c>
      <c r="B29" s="29" t="s">
        <v>117</v>
      </c>
      <c r="C29" s="65">
        <v>88813</v>
      </c>
      <c r="D29" s="73" t="s">
        <v>219</v>
      </c>
      <c r="E29" s="29" t="s">
        <v>220</v>
      </c>
      <c r="F29" s="28">
        <v>45947</v>
      </c>
      <c r="G29" s="35" t="s">
        <v>72</v>
      </c>
      <c r="H29" s="84">
        <f>228+547+350+633+300+250+60</f>
        <v>2368</v>
      </c>
      <c r="I29" s="84">
        <v>0.039</v>
      </c>
      <c r="J29" s="90">
        <f t="shared" si="0"/>
        <v>92.352</v>
      </c>
    </row>
    <row r="30" s="79" customFormat="1" ht="16.5" spans="1:11">
      <c r="C30" s="91"/>
      <c r="F30" s="92"/>
      <c r="J30" s="93">
        <f>SUM(J3:J29)</f>
        <v>3817.342</v>
      </c>
    </row>
    <row r="35" ht="16.5" spans="1:11">
      <c r="A35" s="28">
        <v>45949</v>
      </c>
      <c r="B35" s="29" t="s">
        <v>117</v>
      </c>
      <c r="C35" s="65" t="s">
        <v>221</v>
      </c>
      <c r="D35" s="73" t="s">
        <v>222</v>
      </c>
      <c r="E35" s="29" t="s">
        <v>223</v>
      </c>
      <c r="F35" s="94" t="s">
        <v>224</v>
      </c>
      <c r="G35" s="35" t="s">
        <v>72</v>
      </c>
      <c r="H35" s="35">
        <v>30000</v>
      </c>
      <c r="I35" s="87">
        <v>0.039</v>
      </c>
      <c r="J35" s="95">
        <f t="shared" ref="J35:J40" si="2">H35*I35</f>
        <v>1170</v>
      </c>
    </row>
    <row r="36" ht="16.5" spans="1:11">
      <c r="A36" s="28"/>
      <c r="B36" s="29"/>
      <c r="C36" s="29"/>
      <c r="D36" s="73"/>
      <c r="E36" s="29"/>
      <c r="F36" s="94"/>
      <c r="G36" s="35" t="s">
        <v>225</v>
      </c>
      <c r="H36" s="35">
        <v>30000</v>
      </c>
      <c r="I36" s="84">
        <v>0</v>
      </c>
      <c r="J36" s="95">
        <f t="shared" si="2"/>
        <v>0</v>
      </c>
    </row>
    <row r="37" ht="16.5" spans="1:11">
      <c r="A37" s="28"/>
      <c r="B37" s="29"/>
      <c r="C37" s="29"/>
      <c r="D37" s="73"/>
      <c r="E37" s="29"/>
      <c r="F37" s="94"/>
      <c r="G37" s="35" t="s">
        <v>226</v>
      </c>
      <c r="H37" s="35">
        <f>H35*0.01</f>
        <v>300</v>
      </c>
      <c r="I37" s="84">
        <v>0</v>
      </c>
      <c r="J37" s="95">
        <f t="shared" si="2"/>
        <v>0</v>
      </c>
      <c r="K37" t="s">
        <v>227</v>
      </c>
    </row>
    <row r="38" ht="16.5" spans="1:11">
      <c r="A38" s="28"/>
      <c r="B38" s="29"/>
      <c r="C38" s="29"/>
      <c r="D38" s="73"/>
      <c r="E38" s="29"/>
      <c r="F38" s="94"/>
      <c r="G38" s="35" t="s">
        <v>225</v>
      </c>
      <c r="H38" s="35">
        <f>H36*0.01</f>
        <v>300</v>
      </c>
      <c r="I38" s="84">
        <v>0</v>
      </c>
      <c r="J38" s="95">
        <f t="shared" si="2"/>
        <v>0</v>
      </c>
    </row>
    <row r="39" ht="16.5" spans="1:11">
      <c r="A39" s="94">
        <v>45967</v>
      </c>
      <c r="B39" s="65" t="s">
        <v>117</v>
      </c>
      <c r="C39" s="65" t="s">
        <v>228</v>
      </c>
      <c r="D39" s="66" t="s">
        <v>229</v>
      </c>
      <c r="E39" s="65" t="s">
        <v>230</v>
      </c>
      <c r="F39" s="94">
        <v>45986</v>
      </c>
      <c r="G39" s="35" t="s">
        <v>106</v>
      </c>
      <c r="H39" s="35">
        <f>5013*4</f>
        <v>20052</v>
      </c>
      <c r="I39" s="87">
        <v>0.007</v>
      </c>
      <c r="J39" s="96">
        <f t="shared" si="2"/>
        <v>140.364</v>
      </c>
    </row>
    <row r="40" ht="16.5" spans="1:11">
      <c r="A40" s="94"/>
      <c r="B40" s="65"/>
      <c r="C40" s="65"/>
      <c r="D40" s="66"/>
      <c r="E40" s="65"/>
      <c r="F40" s="94"/>
      <c r="G40" s="35" t="s">
        <v>231</v>
      </c>
      <c r="H40" s="35">
        <v>201</v>
      </c>
      <c r="I40" s="87">
        <v>0</v>
      </c>
      <c r="J40" s="95">
        <f t="shared" si="2"/>
        <v>0</v>
      </c>
    </row>
    <row r="44" spans="1:11">
      <c r="J44">
        <f>3177.16+1773.22</f>
        <v>4950.38</v>
      </c>
    </row>
  </sheetData>
  <autoFilter xmlns:etc="http://www.wps.cn/officeDocument/2017/etCustomData" ref="A1:J30" etc:filterBottomFollowUsedRange="0">
    <extLst/>
  </autoFilter>
  <mergeCells count="31">
    <mergeCell ref="A1:J1"/>
    <mergeCell ref="A3:A6"/>
    <mergeCell ref="A7:A24"/>
    <mergeCell ref="A25:A26"/>
    <mergeCell ref="A35:A38"/>
    <mergeCell ref="A39:A40"/>
    <mergeCell ref="B3:B6"/>
    <mergeCell ref="B7:B24"/>
    <mergeCell ref="B25:B26"/>
    <mergeCell ref="B35:B38"/>
    <mergeCell ref="B39:B40"/>
    <mergeCell ref="C3:C6"/>
    <mergeCell ref="C7:C24"/>
    <mergeCell ref="C25:C26"/>
    <mergeCell ref="C35:C38"/>
    <mergeCell ref="C39:C40"/>
    <mergeCell ref="D3:D6"/>
    <mergeCell ref="D7:D24"/>
    <mergeCell ref="D25:D26"/>
    <mergeCell ref="D35:D38"/>
    <mergeCell ref="D39:D40"/>
    <mergeCell ref="E3:E6"/>
    <mergeCell ref="E7:E24"/>
    <mergeCell ref="E25:E26"/>
    <mergeCell ref="E35:E38"/>
    <mergeCell ref="E39:E40"/>
    <mergeCell ref="F3:F4"/>
    <mergeCell ref="F5:F6"/>
    <mergeCell ref="F25:F26"/>
    <mergeCell ref="F35:F38"/>
    <mergeCell ref="F39:F4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55</v>
      </c>
      <c r="D7" s="56" t="s">
        <v>56</v>
      </c>
      <c r="E7" s="28" t="s">
        <v>57</v>
      </c>
      <c r="F7" s="60" t="s">
        <v>58</v>
      </c>
      <c r="G7" s="32" t="s">
        <v>59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58</v>
      </c>
      <c r="G8" s="32" t="s">
        <v>60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58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61</v>
      </c>
      <c r="E11" s="39" t="s">
        <v>43</v>
      </c>
      <c r="F11" s="39" t="s">
        <v>62</v>
      </c>
      <c r="G11" s="32" t="s">
        <v>63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64</v>
      </c>
      <c r="D12" s="30" t="s">
        <v>65</v>
      </c>
      <c r="E12" s="29" t="s">
        <v>66</v>
      </c>
      <c r="F12" s="31" t="s">
        <v>67</v>
      </c>
      <c r="G12" s="32" t="s">
        <v>68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69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70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71</v>
      </c>
      <c r="G15" s="32" t="s">
        <v>72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71</v>
      </c>
      <c r="G16" s="32" t="s">
        <v>73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74</v>
      </c>
      <c r="D17" s="66" t="s">
        <v>75</v>
      </c>
      <c r="E17" s="65" t="s">
        <v>76</v>
      </c>
      <c r="F17" s="67" t="s">
        <v>77</v>
      </c>
      <c r="G17" s="35" t="s">
        <v>68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69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72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60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78</v>
      </c>
      <c r="G22" s="35" t="s">
        <v>79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80</v>
      </c>
      <c r="D23" s="73" t="s">
        <v>81</v>
      </c>
      <c r="E23" s="29" t="s">
        <v>82</v>
      </c>
      <c r="F23" s="67" t="s">
        <v>83</v>
      </c>
      <c r="G23" s="35" t="s">
        <v>68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69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70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72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79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60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84</v>
      </c>
      <c r="E30" s="29" t="s">
        <v>85</v>
      </c>
      <c r="F30" s="67" t="s">
        <v>86</v>
      </c>
      <c r="G30" s="35" t="s">
        <v>87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69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72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60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117</v>
      </c>
      <c r="C35" s="29" t="s">
        <v>232</v>
      </c>
      <c r="D35" s="73" t="s">
        <v>233</v>
      </c>
      <c r="E35" s="29" t="s">
        <v>234</v>
      </c>
      <c r="F35" s="67" t="s">
        <v>235</v>
      </c>
      <c r="G35" s="35" t="s">
        <v>236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69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95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72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106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88</v>
      </c>
      <c r="E41" s="29" t="s">
        <v>89</v>
      </c>
      <c r="F41" s="67" t="s">
        <v>83</v>
      </c>
      <c r="G41" s="35" t="s">
        <v>90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69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91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72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60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92</v>
      </c>
      <c r="D47" s="73" t="s">
        <v>93</v>
      </c>
      <c r="E47" s="29" t="s">
        <v>94</v>
      </c>
      <c r="F47" s="67" t="s">
        <v>83</v>
      </c>
      <c r="G47" s="35" t="s">
        <v>68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69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95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72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60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96</v>
      </c>
      <c r="D53" s="73" t="s">
        <v>97</v>
      </c>
      <c r="E53" s="29" t="s">
        <v>98</v>
      </c>
      <c r="F53" s="67" t="s">
        <v>83</v>
      </c>
      <c r="G53" s="35" t="s">
        <v>68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69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72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79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60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237</v>
      </c>
      <c r="C59" s="29" t="s">
        <v>238</v>
      </c>
      <c r="D59" s="73" t="s">
        <v>239</v>
      </c>
      <c r="E59" s="29" t="s">
        <v>240</v>
      </c>
      <c r="F59" s="76" t="s">
        <v>78</v>
      </c>
      <c r="G59" s="35" t="s">
        <v>87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69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72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106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87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69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72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106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110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237</v>
      </c>
      <c r="C70" s="29" t="s">
        <v>241</v>
      </c>
      <c r="D70" s="73" t="s">
        <v>242</v>
      </c>
      <c r="E70" s="29" t="s">
        <v>243</v>
      </c>
      <c r="F70" s="67" t="s">
        <v>244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127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245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246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247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248</v>
      </c>
      <c r="C3" s="29">
        <v>17476</v>
      </c>
      <c r="D3" s="45" t="s">
        <v>249</v>
      </c>
      <c r="E3" s="46" t="s">
        <v>250</v>
      </c>
      <c r="F3" s="47" t="s">
        <v>251</v>
      </c>
      <c r="G3" s="35" t="s">
        <v>252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159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160</v>
      </c>
      <c r="B8" s="50" t="s">
        <v>161</v>
      </c>
      <c r="C8" s="50" t="s">
        <v>162</v>
      </c>
      <c r="D8" s="50" t="s">
        <v>163</v>
      </c>
      <c r="E8" s="50" t="s">
        <v>164</v>
      </c>
      <c r="F8" s="51" t="s">
        <v>165</v>
      </c>
      <c r="G8" s="50" t="s">
        <v>166</v>
      </c>
      <c r="H8" s="50" t="s">
        <v>167</v>
      </c>
      <c r="I8" s="50" t="s">
        <v>168</v>
      </c>
      <c r="J8" s="50" t="s">
        <v>169</v>
      </c>
    </row>
    <row r="9" ht="28.5" spans="1:11">
      <c r="A9" s="50"/>
      <c r="B9" s="50"/>
      <c r="C9" s="50"/>
      <c r="D9" s="50" t="s">
        <v>170</v>
      </c>
      <c r="E9" s="50"/>
      <c r="F9" s="51" t="s">
        <v>171</v>
      </c>
      <c r="G9" s="50"/>
      <c r="H9" s="50"/>
      <c r="I9" s="52" t="s">
        <v>172</v>
      </c>
      <c r="J9" s="50"/>
    </row>
    <row r="10" ht="28" spans="1:11">
      <c r="A10" s="52">
        <v>1</v>
      </c>
      <c r="B10" s="53">
        <v>45747</v>
      </c>
      <c r="C10" s="50" t="s">
        <v>173</v>
      </c>
      <c r="D10" s="50" t="s">
        <v>174</v>
      </c>
      <c r="E10" s="50" t="s">
        <v>253</v>
      </c>
      <c r="F10" s="50" t="s">
        <v>254</v>
      </c>
      <c r="G10" s="50" t="s">
        <v>255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64</v>
      </c>
      <c r="D3" s="30" t="s">
        <v>65</v>
      </c>
      <c r="E3" s="29" t="s">
        <v>66</v>
      </c>
      <c r="F3" s="31" t="s">
        <v>67</v>
      </c>
      <c r="G3" s="32" t="s">
        <v>68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69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70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71</v>
      </c>
      <c r="G6" s="32" t="s">
        <v>72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71</v>
      </c>
      <c r="G7" s="32" t="s">
        <v>73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2024-5月-7月-已开票</vt:lpstr>
      <vt:lpstr>4月Adela-国内</vt:lpstr>
      <vt:lpstr>4月Adela-孟加拉</vt:lpstr>
      <vt:lpstr>10月Emily-人民币</vt:lpstr>
      <vt:lpstr>10月Emily-人民币 (2)</vt:lpstr>
      <vt:lpstr>10月Emily-美金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2025-12-29T03:44:08Z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9FAAFD8B5014488185594E6492FB333D_13</vt:lpwstr>
  </property>
  <property fmtid="{D5CDD505-2E9C-101B-9397-08002B2CF9AE}" pid="4" name="CalculationRule">
    <vt:i4>0</vt:i4>
  </property>
</Properties>
</file>