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2" activeTab="2"/>
  </bookViews>
  <sheets>
    <sheet name="2024-5月-7月-已开票" sheetId="19" state="hidden" r:id="rId1"/>
    <sheet name="11月Adela-国内已部分开票" sheetId="30" state="hidden" r:id="rId2"/>
    <sheet name="12月Adela-国内 " sheetId="31" r:id="rId3"/>
    <sheet name="12月Adela-孟加拉" sheetId="29" r:id="rId4"/>
    <sheet name="4月Emily" sheetId="27" state="hidden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'11月Adela-国内已部分开票'!$A$1:$J$101</definedName>
    <definedName name="_xlnm._FilterDatabase" localSheetId="2" hidden="1">'12月Adela-国内 '!$A$1:$J$116</definedName>
    <definedName name="_xlnm._FilterDatabase" localSheetId="3" hidden="1">'12月Adela-孟加拉'!$A$1:$J$37</definedName>
    <definedName name="_xlnm._FilterDatabase" localSheetId="4" hidden="1">'4月Emily'!$A$1:$J$20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<sst xmlns="http://schemas.openxmlformats.org/spreadsheetml/2006/main" count="1005" uniqueCount="363">
  <si>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</si>
  <si>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</si>
  <si>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</si>
  <si>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</si>
  <si>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</si>
  <si>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</si>
  <si>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</si>
  <si>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</si>
  <si>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</si>
  <si>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</si>
  <si>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</si>
  <si>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</si>
  <si>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</si>
  <si>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</si>
  <si>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</si>
  <si>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</si>
  <si>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</si>
  <si>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</si>
  <si>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</si>
  <si>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</si>
  <si>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</si>
  <si>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</si>
  <si>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</si>
  <si>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</si>
  <si>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</si>
  <si>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</si>
  <si>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</si>
  <si>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</si>
  <si>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</si>
  <si>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</si>
  <si>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</si>
  <si>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</si>
  <si>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</si>
  <si>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</si>
  <si>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</si>
  <si>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</si>
  <si>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</si>
  <si>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</si>
  <si>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</si>
  <si>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</si>
  <si>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</si>
  <si>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</si>
  <si>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</si>
  <si>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</si>
  <si>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</si>
  <si>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</si>
  <si>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</si>
  <si>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</si>
  <si>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</si>
  <si>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</si>
  <si>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</si>
  <si>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</si>
  <si>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</si>
  <si>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</si>
  <si>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</si>
  <si>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</si>
  <si>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</si>
  <si>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</si>
  <si>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82766
82767
84341
84767</t>
  </si>
  <si>
    <t>RBSKNJTD063</t>
  </si>
  <si>
    <t>PINTA 3606-140-800
BANGLADESH 男上装 夹克 翻单4</t>
  </si>
  <si>
    <t>2025.7.17</t>
  </si>
  <si>
    <t>WLBCRFI005 RFID白织标-51*51mm</t>
  </si>
  <si>
    <t>WLBCRFI005 RFID白织标-51*51mm-免费损耗1%</t>
  </si>
  <si>
    <t>白色缎带洗标CLBCGEN003*5页-60*25mm（加页码）</t>
  </si>
  <si>
    <t>黑色 吊绳 MRBCGEN004-320*1.5mm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</si>
  <si>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</si>
  <si>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</si>
  <si>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</si>
  <si>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</si>
  <si>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</si>
  <si>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</si>
  <si>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</si>
  <si>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</si>
  <si>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</si>
  <si>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</si>
  <si>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</si>
  <si>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</si>
  <si>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</si>
  <si>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白色吊牌HPBCRFI001-60*95mm-RFID LOGO</t>
  </si>
  <si>
    <t>2025.8.1</t>
  </si>
  <si>
    <t>黑色织标WLBCRFI006-51*51mm-RFID(+3%)</t>
  </si>
  <si>
    <t>黑色织标WLBCRFI006-51*51mm-免费损耗1%</t>
  </si>
  <si>
    <t>黑色织标WLBCRFI006-51*51mm-大货样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</si>
  <si>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</si>
  <si>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</si>
  <si>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</si>
  <si>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</si>
  <si>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</si>
  <si>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</si>
  <si>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</si>
  <si>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</si>
  <si>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</si>
  <si>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</si>
  <si>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</si>
  <si>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85616
86023</t>
  </si>
  <si>
    <t>RBSKNJTD081</t>
  </si>
  <si>
    <t>8615-545-800
China 女上装</t>
  </si>
  <si>
    <t>2025.8.28</t>
  </si>
  <si>
    <t>黑色织标WLBCRFI006-51*51mm-RFID</t>
  </si>
  <si>
    <t>2025.8.29</t>
  </si>
  <si>
    <t>2025.8.27</t>
  </si>
  <si>
    <t>40308
40309
40339</t>
  </si>
  <si>
    <t>RBSKNJTD090</t>
  </si>
  <si>
    <t>NIGHTMARE 0089-046-529/641
China 男外套</t>
  </si>
  <si>
    <t>2025.9.25</t>
  </si>
  <si>
    <t>2025.9.28</t>
  </si>
  <si>
    <t>白色缎带洗标CLBCGEN003*4页-60*25mm（加页码）</t>
  </si>
  <si>
    <t>2025.9.30</t>
  </si>
  <si>
    <t>40381
40382</t>
  </si>
  <si>
    <t>RBSKNJTD091</t>
  </si>
  <si>
    <t>PRISA 0805-046-800/529
China 男裤子</t>
  </si>
  <si>
    <t>2025.9.26</t>
  </si>
  <si>
    <t>白色RFID织标WLBCRFI015-65*20mm</t>
  </si>
  <si>
    <t>白色RFID织标WLBCRFI015-65*20mm-免费损耗1%</t>
  </si>
  <si>
    <t>白色RFID织标WLBCRFI015-65*20mm-大货样</t>
  </si>
  <si>
    <t>白色织标WLBCGEN020(06B）-85*20mm</t>
  </si>
  <si>
    <t>2025.9.27</t>
  </si>
  <si>
    <t>腰卡（WTBCGEN225）-88*82mmSUPER BAGGY</t>
  </si>
  <si>
    <t>41239
41251
41249</t>
  </si>
  <si>
    <t>RBSKNJTD097</t>
  </si>
  <si>
    <t>NIGHTMARE 0089-140-529/641
BANGLADESH 男外套</t>
  </si>
  <si>
    <t>2025.10.15</t>
  </si>
  <si>
    <t>黑色织标WLBCRFI006-51*51mm-RFID（+3%）</t>
  </si>
  <si>
    <t>RBSKNJTD099</t>
  </si>
  <si>
    <t>PRISA 0805-046-529
China 男裤子 补单</t>
  </si>
  <si>
    <t>2025.10.16</t>
  </si>
  <si>
    <t>RBSKNJTD0100</t>
  </si>
  <si>
    <t>NIGHTMARE 0089-046
China 男外套 补单</t>
  </si>
  <si>
    <t>黑色织标WLBCRFI006-51*51mm-RFID-3%数量</t>
  </si>
  <si>
    <t>RBSKNJTD0103</t>
  </si>
  <si>
    <t>PRISA 0805-046-800
China 男裤子 补单2</t>
  </si>
  <si>
    <t>2025.10.23</t>
  </si>
  <si>
    <t>白色缎带洗标CLBCGEN003*1页-60*25mm（条码页）</t>
  </si>
  <si>
    <t>2025.10.25</t>
  </si>
  <si>
    <t>40923
40933
42368
40928</t>
  </si>
  <si>
    <t>RBSKNJTD0104</t>
  </si>
  <si>
    <t>PRISA 0805-046-529/800
China 男裤子 翻单1</t>
  </si>
  <si>
    <t>2025.10.26</t>
  </si>
  <si>
    <t>白色RFID织标WLBCRFI015-65*20mm（+3%）</t>
  </si>
  <si>
    <t>2025.11.7</t>
  </si>
  <si>
    <t>2025.11.8</t>
  </si>
  <si>
    <t>配比装胶带贴纸  BKSKR24014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</si>
  <si>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</si>
  <si>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</si>
  <si>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</si>
  <si>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</si>
  <si>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</si>
  <si>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</si>
  <si>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</si>
  <si>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</si>
  <si>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</si>
  <si>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</si>
  <si>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</si>
  <si>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</si>
  <si>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</si>
  <si>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</si>
  <si>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开票</t>
  </si>
  <si>
    <t>实际</t>
  </si>
  <si>
    <t>平衡项</t>
  </si>
  <si>
    <t>同德</t>
  </si>
  <si>
    <t>佰益进服装南京有限公司</t>
  </si>
  <si>
    <t>按客户要求开</t>
  </si>
  <si>
    <t>同德抬头</t>
  </si>
  <si>
    <t>吊绳数量</t>
  </si>
  <si>
    <t>佰益进抬头</t>
  </si>
  <si>
    <t>RBSKNJTD0109</t>
  </si>
  <si>
    <t>REPUBLIC 1114-046-403
China 男上装</t>
  </si>
  <si>
    <t>2025.11.22</t>
  </si>
  <si>
    <t>白色RFID织标WLBCRFI013-65*20mm</t>
  </si>
  <si>
    <t>白色RFID织标WLBCRFI013-65*20mm-免费损耗1%</t>
  </si>
  <si>
    <t>白色RFID织标WLBCRFI013-65*20mm-大货样</t>
  </si>
  <si>
    <t>2025.11.23</t>
  </si>
  <si>
    <t>白色挂耳LPBCGEN001-8*26mm</t>
  </si>
  <si>
    <t>2025.11.27</t>
  </si>
  <si>
    <t>白色缎带洗标CLBCGEN003*1页-60*25mm（第三页）</t>
  </si>
  <si>
    <t>2025.11.25</t>
  </si>
  <si>
    <t>RBSKNJTD0110</t>
  </si>
  <si>
    <t>BROOKLYN 1210-046-711
China 男下装</t>
  </si>
  <si>
    <t>白色RFID织标WLBCRFI011-85*20mm</t>
  </si>
  <si>
    <t>白色RFID织标WLBCRFI011-85*20mm-免费损耗1%</t>
  </si>
  <si>
    <t>白色RFID织标WLBCRFI011-85*20mm-大货样</t>
  </si>
  <si>
    <t>空白标BKKBXM24002（60*25mm）</t>
  </si>
  <si>
    <t>RBSKNJTD0111</t>
  </si>
  <si>
    <t>REPUBLIC 1476-545-403
China 女上装</t>
  </si>
  <si>
    <t>2025.12.13</t>
  </si>
  <si>
    <t>2025.12.12</t>
  </si>
  <si>
    <t>2025.12.15</t>
  </si>
  <si>
    <t>白色吊牌HPBCGEN011-60*95mm-RFID LOGO-新版</t>
  </si>
  <si>
    <t>41983
40929</t>
  </si>
  <si>
    <t>RBSKNJTD0112</t>
  </si>
  <si>
    <t>PRISA 0805-046-800
China 男裤子 翻单2</t>
  </si>
  <si>
    <t>2025.12.6</t>
  </si>
  <si>
    <t>2025.12.4</t>
  </si>
  <si>
    <t>2025.12.10</t>
  </si>
  <si>
    <t>41982
41984</t>
  </si>
  <si>
    <t>RBSKNJTD0114</t>
  </si>
  <si>
    <t>PRISA 0805-046-800
China 男裤子 翻单3</t>
  </si>
  <si>
    <t>2025.12.16</t>
  </si>
  <si>
    <t>2025.12.17</t>
  </si>
  <si>
    <t>RBSKNJTD0115</t>
  </si>
  <si>
    <t>BROOKLYN 1210-046-711
China 男下装 补单</t>
  </si>
  <si>
    <t>2025.12.21</t>
  </si>
  <si>
    <t>RBSKNJTD0117</t>
  </si>
  <si>
    <t>REPUBLIC 1114-046-403
China 男上装 补单</t>
  </si>
  <si>
    <t>RBSKNJTD0118</t>
  </si>
  <si>
    <t>REPUBLIC 1476-545-403
China 女上装 补单</t>
  </si>
  <si>
    <t>白色RFID织标WLBCRFI013-65*20mm（+1%）</t>
  </si>
  <si>
    <t>2025.12.14</t>
  </si>
  <si>
    <t>2025.12.18</t>
  </si>
  <si>
    <t>RBSKNJTD0119</t>
  </si>
  <si>
    <t>UNLOCK 1514-046-800
China 男上装</t>
  </si>
  <si>
    <t>2025.12.27</t>
  </si>
  <si>
    <t>2025.12.31</t>
  </si>
  <si>
    <t>订单金额</t>
  </si>
  <si>
    <t>主标</t>
  </si>
  <si>
    <t>千克</t>
  </si>
  <si>
    <t>洗唛</t>
  </si>
  <si>
    <t>吊牌</t>
  </si>
  <si>
    <t>南京同德服装有限公司</t>
  </si>
  <si>
    <t>吊绳</t>
  </si>
  <si>
    <t>个</t>
  </si>
  <si>
    <t>套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</si>
  <si>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</si>
  <si>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</si>
  <si>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</si>
  <si>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</si>
  <si>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</si>
  <si>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</si>
  <si>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</si>
  <si>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</si>
  <si>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</si>
  <si>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</si>
  <si>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</si>
  <si>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</si>
  <si>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78414</t>
  </si>
  <si>
    <t>RBSKNJTD055</t>
  </si>
  <si>
    <t>PINTA 3606-140-800
BANGLADESH 男上装 夹克 翻单2</t>
  </si>
  <si>
    <t>2025.6.25</t>
  </si>
  <si>
    <t>白色吊牌HPBCGEN001-60*95mm-1%损耗</t>
  </si>
  <si>
    <t>RBSKNJTD060</t>
  </si>
  <si>
    <t>PINTA 3606-140-800
BANGLADESH 男上装 夹克 翻单3</t>
  </si>
  <si>
    <t>2025.7.7</t>
  </si>
  <si>
    <t>81982
82768</t>
  </si>
  <si>
    <t>RBSKNJTD066</t>
  </si>
  <si>
    <t>PINTA 3606-046-802
BANGLADESH 男上背心 RFID加单9</t>
  </si>
  <si>
    <t>2025.7.15</t>
  </si>
  <si>
    <t>RBSKNJTD067</t>
  </si>
  <si>
    <t>PINTA 3606-140-800
BANGLADESH 男上装 夹克 翻单5</t>
  </si>
  <si>
    <t>2025.7.19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</si>
  <si>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</si>
  <si>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</si>
  <si>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</si>
  <si>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</si>
  <si>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</si>
  <si>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</si>
  <si>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</si>
  <si>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</si>
  <si>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</si>
  <si>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</si>
  <si>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</si>
  <si>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</si>
  <si>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RBSKNJTD087</t>
  </si>
  <si>
    <t>PRINGLE 6821-046
BANGLADESH 男上装 补单</t>
  </si>
  <si>
    <t>2025.9.10</t>
  </si>
  <si>
    <t>白色缎带洗标CLBCGEN003*1页-60*25mm（第5页洗语页）</t>
  </si>
  <si>
    <t>白色缎带洗标CLBCGEN003*1页-60*25mm（1%损耗）</t>
  </si>
  <si>
    <t>RBSKNJTD088</t>
  </si>
  <si>
    <t>PINTA 3606-046-802
BANGLADESH 男上背心 RFID加单11</t>
  </si>
  <si>
    <t>2025.9.13</t>
  </si>
  <si>
    <t>白色缎带洗标CLBCGEN003*2页-60*25mm（条码页+产地页）</t>
  </si>
  <si>
    <t>白色缎带洗标CLBCGEN003*2页-60*25mm-1%损耗</t>
  </si>
  <si>
    <t>2025.9.15</t>
  </si>
  <si>
    <t>85358
86578</t>
  </si>
  <si>
    <t>RBSKNJTD093</t>
  </si>
  <si>
    <t>PINTA 3606-140-800
BANGLADESH 男上装 夹克 翻单9</t>
  </si>
  <si>
    <t>白色吊牌HPBCRFI001-60*95mm-RFID LOGO-1%损耗</t>
  </si>
  <si>
    <t>RBSKNJTD094</t>
  </si>
  <si>
    <t>PINTA 3606-140-800
BANGLADESH 男上装 夹克 翻单9 补单</t>
  </si>
  <si>
    <t>RBSKNJTD095</t>
  </si>
  <si>
    <t>PRINGLE 6821-046-800
BANGLADESH 男上装 翻单2</t>
  </si>
  <si>
    <t>RBSKNJTD096</t>
  </si>
  <si>
    <t>PALOMA 6770-046-800
BANGLADESH 男上装 翻单8</t>
  </si>
  <si>
    <t>RBSKNJTD0108</t>
  </si>
  <si>
    <t>NIGHTMARE 0089-140
BANGLADESH 男外套 补单</t>
  </si>
  <si>
    <t>纸板-33*52cm-300gBKZC25007</t>
  </si>
  <si>
    <t>纸板-33*52cm-300gBKZC25007-5%损耗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</si>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</sst>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  <font>
      <sz val="22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9" borderId="15" applyNumberFormat="0" applyAlignment="0" applyProtection="0">
      <alignment vertical="center"/>
    </xf>
    <xf numFmtId="0" fontId="36" fillId="9" borderId="14" applyNumberFormat="0" applyAlignment="0" applyProtection="0">
      <alignment vertical="center"/>
    </xf>
    <xf numFmtId="0" fontId="37" fillId="10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vertical="center"/>
    </xf>
    <xf numFmtId="0" fontId="0" fillId="0" borderId="0">
      <alignment vertical="center"/>
    </xf>
    <xf numFmtId="0" fontId="46" fillId="0" borderId="0">
      <alignment horizontal="center" vertical="center"/>
    </xf>
  </cellStyleXfs>
  <cellXfs count="1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 applyAlignment="1">
      <alignment horizontal="center" vertical="center"/>
    </xf>
    <xf numFmtId="0" fontId="20" fillId="0" borderId="0" xfId="0" applyFont="1" applyFill="1">
      <alignment vertical="center"/>
    </xf>
    <xf numFmtId="0" fontId="23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9" fontId="19" fillId="0" borderId="0" xfId="0" applyNumberFormat="1" applyFont="1">
      <alignment vertical="center"/>
    </xf>
    <xf numFmtId="179" fontId="17" fillId="0" borderId="0" xfId="0" applyNumberFormat="1" applyFont="1" applyFill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8" fontId="15" fillId="4" borderId="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58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8" fontId="15" fillId="4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58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8" fontId="15" fillId="4" borderId="5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58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8" fontId="15" fillId="3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58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8" fontId="15" fillId="3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58" fontId="13" fillId="0" borderId="10" xfId="0" applyNumberFormat="1" applyFont="1" applyFill="1" applyBorder="1" applyAlignment="1">
      <alignment horizontal="center" vertical="center" wrapText="1"/>
    </xf>
    <xf numFmtId="8" fontId="1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42">
        <v>45439</v>
      </c>
      <c r="B3" s="15" t="s">
        <v>15</v>
      </c>
      <c r="C3" s="143">
        <v>54401</v>
      </c>
      <c r="D3" s="144" t="s">
        <v>16</v>
      </c>
      <c r="E3" s="143" t="s">
        <v>17</v>
      </c>
      <c r="F3" s="143" t="s">
        <v>18</v>
      </c>
      <c r="G3" s="145">
        <v>10500</v>
      </c>
      <c r="H3" s="145">
        <f t="shared" ref="H3:H32" si="0">G3-I3</f>
        <v>500</v>
      </c>
      <c r="I3" s="143">
        <v>10000</v>
      </c>
      <c r="J3" s="20">
        <v>0.368</v>
      </c>
      <c r="K3" s="146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42"/>
      <c r="B4" s="15"/>
      <c r="C4" s="143"/>
      <c r="D4" s="144"/>
      <c r="E4" s="143"/>
      <c r="F4" s="147">
        <v>45476</v>
      </c>
      <c r="G4" s="145">
        <v>11582</v>
      </c>
      <c r="H4" s="145">
        <f t="shared" si="0"/>
        <v>554</v>
      </c>
      <c r="I4" s="143">
        <v>11028</v>
      </c>
      <c r="J4" s="20">
        <v>0.368</v>
      </c>
      <c r="K4" s="146">
        <f t="shared" si="1"/>
        <v>4058.304</v>
      </c>
      <c r="L4" s="148"/>
      <c r="M4" s="20"/>
      <c r="N4" s="20"/>
      <c r="O4" s="20"/>
    </row>
    <row r="5" ht="16.5" spans="1:15">
      <c r="A5" s="142"/>
      <c r="B5" s="15"/>
      <c r="C5" s="143"/>
      <c r="D5" s="144"/>
      <c r="E5" s="143"/>
      <c r="F5" s="143" t="s">
        <v>18</v>
      </c>
      <c r="G5" s="145">
        <v>10500</v>
      </c>
      <c r="H5" s="145">
        <f t="shared" si="0"/>
        <v>500</v>
      </c>
      <c r="I5" s="143">
        <v>10000</v>
      </c>
      <c r="J5" s="15">
        <f>0.042*8</f>
        <v>0.336</v>
      </c>
      <c r="K5" s="146">
        <f t="shared" si="1"/>
        <v>3360</v>
      </c>
      <c r="L5" s="146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42"/>
      <c r="B6" s="15"/>
      <c r="C6" s="143"/>
      <c r="D6" s="144"/>
      <c r="E6" s="143"/>
      <c r="F6" s="147">
        <v>45476</v>
      </c>
      <c r="G6" s="145">
        <v>11583</v>
      </c>
      <c r="H6" s="145">
        <f t="shared" si="0"/>
        <v>555</v>
      </c>
      <c r="I6" s="143">
        <v>11028</v>
      </c>
      <c r="J6" s="15">
        <f>0.042*8</f>
        <v>0.336</v>
      </c>
      <c r="K6" s="146">
        <f t="shared" si="1"/>
        <v>3705.408</v>
      </c>
      <c r="L6" s="149"/>
      <c r="M6" s="20"/>
      <c r="N6" s="20"/>
      <c r="O6" s="20"/>
    </row>
    <row r="7" ht="16" customHeight="1" spans="1:15">
      <c r="A7" s="142"/>
      <c r="B7" s="15"/>
      <c r="C7" s="143"/>
      <c r="D7" s="144"/>
      <c r="E7" s="143"/>
      <c r="F7" s="147">
        <v>45476</v>
      </c>
      <c r="G7" s="145">
        <v>22079.4</v>
      </c>
      <c r="H7" s="145">
        <f t="shared" si="0"/>
        <v>1051.4</v>
      </c>
      <c r="I7" s="143">
        <v>21028</v>
      </c>
      <c r="J7" s="20">
        <v>0.294</v>
      </c>
      <c r="K7" s="146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42"/>
      <c r="B8" s="15"/>
      <c r="C8" s="143"/>
      <c r="D8" s="144"/>
      <c r="E8" s="143"/>
      <c r="F8" s="147">
        <v>45476</v>
      </c>
      <c r="G8" s="145">
        <v>22079.4</v>
      </c>
      <c r="H8" s="145">
        <f t="shared" si="0"/>
        <v>1051.4</v>
      </c>
      <c r="I8" s="143">
        <v>21028</v>
      </c>
      <c r="J8" s="20">
        <v>0.116</v>
      </c>
      <c r="K8" s="146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42">
        <v>45439</v>
      </c>
      <c r="B9" s="15" t="s">
        <v>15</v>
      </c>
      <c r="C9" s="143">
        <v>54404</v>
      </c>
      <c r="D9" s="144" t="s">
        <v>23</v>
      </c>
      <c r="E9" s="143" t="s">
        <v>24</v>
      </c>
      <c r="F9" s="147">
        <v>45470</v>
      </c>
      <c r="G9" s="145">
        <f>I9*1.05</f>
        <v>31500</v>
      </c>
      <c r="H9" s="145">
        <f t="shared" si="0"/>
        <v>1500</v>
      </c>
      <c r="I9" s="143">
        <v>30000</v>
      </c>
      <c r="J9" s="20">
        <v>0.368</v>
      </c>
      <c r="K9" s="146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42"/>
      <c r="B10" s="15"/>
      <c r="C10" s="143"/>
      <c r="D10" s="144"/>
      <c r="E10" s="143"/>
      <c r="F10" s="147">
        <v>45476</v>
      </c>
      <c r="G10" s="145">
        <v>1605</v>
      </c>
      <c r="H10" s="145">
        <f t="shared" si="0"/>
        <v>79</v>
      </c>
      <c r="I10" s="143">
        <v>1526</v>
      </c>
      <c r="J10" s="20">
        <v>0.368</v>
      </c>
      <c r="K10" s="146">
        <f t="shared" si="1"/>
        <v>561.568</v>
      </c>
      <c r="L10" s="148"/>
      <c r="M10" s="20"/>
      <c r="N10" s="15"/>
      <c r="O10" s="20"/>
    </row>
    <row r="11" ht="16.5" spans="1:15">
      <c r="A11" s="142"/>
      <c r="B11" s="15"/>
      <c r="C11" s="143"/>
      <c r="D11" s="144"/>
      <c r="E11" s="143"/>
      <c r="F11" s="147">
        <v>45470</v>
      </c>
      <c r="G11" s="145">
        <f>I11*1.05</f>
        <v>31500</v>
      </c>
      <c r="H11" s="145">
        <f t="shared" si="0"/>
        <v>1500</v>
      </c>
      <c r="I11" s="143">
        <v>30000</v>
      </c>
      <c r="J11" s="15">
        <f>0.042*6</f>
        <v>0.252</v>
      </c>
      <c r="K11" s="146">
        <f t="shared" si="1"/>
        <v>7560</v>
      </c>
      <c r="L11" s="146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42"/>
      <c r="B12" s="15"/>
      <c r="C12" s="143"/>
      <c r="D12" s="144"/>
      <c r="E12" s="143"/>
      <c r="F12" s="147">
        <v>45476</v>
      </c>
      <c r="G12" s="145">
        <v>1607</v>
      </c>
      <c r="H12" s="145">
        <f t="shared" si="0"/>
        <v>81</v>
      </c>
      <c r="I12" s="143">
        <v>1526</v>
      </c>
      <c r="J12" s="15">
        <f>0.042*6</f>
        <v>0.252</v>
      </c>
      <c r="K12" s="146">
        <f t="shared" si="1"/>
        <v>384.552</v>
      </c>
      <c r="L12" s="149"/>
      <c r="M12" s="20"/>
      <c r="N12" s="20"/>
      <c r="O12" s="20"/>
    </row>
    <row r="13" ht="16" customHeight="1" spans="1:15">
      <c r="A13" s="142"/>
      <c r="B13" s="15"/>
      <c r="C13" s="143"/>
      <c r="D13" s="144"/>
      <c r="E13" s="143"/>
      <c r="F13" s="147">
        <v>45476</v>
      </c>
      <c r="G13" s="145">
        <v>33102</v>
      </c>
      <c r="H13" s="145">
        <f t="shared" si="0"/>
        <v>1576</v>
      </c>
      <c r="I13" s="143">
        <v>31526</v>
      </c>
      <c r="J13" s="20">
        <v>0.294</v>
      </c>
      <c r="K13" s="146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42"/>
      <c r="B14" s="15"/>
      <c r="C14" s="143"/>
      <c r="D14" s="144"/>
      <c r="E14" s="143"/>
      <c r="F14" s="147">
        <v>45476</v>
      </c>
      <c r="G14" s="145">
        <v>33102</v>
      </c>
      <c r="H14" s="145">
        <f t="shared" si="0"/>
        <v>1576</v>
      </c>
      <c r="I14" s="143">
        <v>31526</v>
      </c>
      <c r="J14" s="20">
        <v>0.116</v>
      </c>
      <c r="K14" s="146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42">
        <v>45477</v>
      </c>
      <c r="B15" s="15" t="s">
        <v>26</v>
      </c>
      <c r="C15" s="143">
        <v>58394</v>
      </c>
      <c r="D15" s="144" t="s">
        <v>27</v>
      </c>
      <c r="E15" s="143" t="s">
        <v>28</v>
      </c>
      <c r="F15" s="147">
        <v>45484</v>
      </c>
      <c r="G15" s="145">
        <f>I15*1.05</f>
        <v>771.75</v>
      </c>
      <c r="H15" s="145">
        <f t="shared" si="0"/>
        <v>36.75</v>
      </c>
      <c r="I15" s="143">
        <v>735</v>
      </c>
      <c r="J15" s="20">
        <v>0.254</v>
      </c>
      <c r="K15" s="146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42"/>
      <c r="B16" s="15"/>
      <c r="C16" s="143"/>
      <c r="D16" s="144"/>
      <c r="E16" s="143"/>
      <c r="F16" s="147">
        <v>45484</v>
      </c>
      <c r="G16" s="145">
        <f>I16*1.05</f>
        <v>771.75</v>
      </c>
      <c r="H16" s="145">
        <f t="shared" si="0"/>
        <v>36.75</v>
      </c>
      <c r="I16" s="143">
        <v>735</v>
      </c>
      <c r="J16" s="20">
        <v>0.15</v>
      </c>
      <c r="K16" s="146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42"/>
      <c r="B17" s="15"/>
      <c r="C17" s="143"/>
      <c r="D17" s="144"/>
      <c r="E17" s="143"/>
      <c r="F17" s="147">
        <v>45484</v>
      </c>
      <c r="G17" s="145">
        <v>2200</v>
      </c>
      <c r="H17" s="145">
        <f t="shared" si="0"/>
        <v>100</v>
      </c>
      <c r="I17" s="143">
        <v>2100</v>
      </c>
      <c r="J17" s="20">
        <v>0.12</v>
      </c>
      <c r="K17" s="146">
        <f t="shared" si="1"/>
        <v>252</v>
      </c>
      <c r="L17" s="146" t="s">
        <v>31</v>
      </c>
      <c r="M17" s="20"/>
      <c r="N17" s="20"/>
      <c r="O17" s="20"/>
    </row>
    <row r="18" ht="32" customHeight="1" spans="1:15">
      <c r="A18" s="142"/>
      <c r="B18" s="15"/>
      <c r="C18" s="143"/>
      <c r="D18" s="144"/>
      <c r="E18" s="143"/>
      <c r="F18" s="147">
        <v>45485</v>
      </c>
      <c r="G18" s="145">
        <v>30500</v>
      </c>
      <c r="H18" s="145">
        <f t="shared" si="0"/>
        <v>8</v>
      </c>
      <c r="I18" s="143">
        <v>30492</v>
      </c>
      <c r="J18" s="20">
        <v>0.12</v>
      </c>
      <c r="K18" s="146">
        <f t="shared" si="1"/>
        <v>3659.04</v>
      </c>
      <c r="L18" s="149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50">
        <v>45484</v>
      </c>
      <c r="G19" s="145">
        <v>561</v>
      </c>
      <c r="H19" s="145">
        <f t="shared" si="0"/>
        <v>26</v>
      </c>
      <c r="I19" s="13">
        <v>535</v>
      </c>
      <c r="J19" s="20">
        <v>0.254</v>
      </c>
      <c r="K19" s="146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50">
        <v>45484</v>
      </c>
      <c r="G20" s="145">
        <v>561</v>
      </c>
      <c r="H20" s="145">
        <f t="shared" si="0"/>
        <v>26</v>
      </c>
      <c r="I20" s="13">
        <v>535</v>
      </c>
      <c r="J20" s="20">
        <v>0.15</v>
      </c>
      <c r="K20" s="146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42">
        <v>45483</v>
      </c>
      <c r="B21" s="15" t="s">
        <v>26</v>
      </c>
      <c r="C21" s="143" t="s">
        <v>34</v>
      </c>
      <c r="D21" s="144" t="s">
        <v>35</v>
      </c>
      <c r="E21" s="143" t="s">
        <v>36</v>
      </c>
      <c r="F21" s="147">
        <v>45491</v>
      </c>
      <c r="G21" s="145">
        <f t="shared" ref="G21:G32" si="2">I21*1.05</f>
        <v>25213.65</v>
      </c>
      <c r="H21" s="145">
        <f t="shared" si="0"/>
        <v>1200.65</v>
      </c>
      <c r="I21" s="13">
        <v>24013</v>
      </c>
      <c r="J21" s="20">
        <v>0.368</v>
      </c>
      <c r="K21" s="146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42"/>
      <c r="B22" s="15"/>
      <c r="C22" s="143"/>
      <c r="D22" s="144"/>
      <c r="E22" s="143"/>
      <c r="F22" s="147">
        <v>45491</v>
      </c>
      <c r="G22" s="145">
        <f t="shared" si="2"/>
        <v>25213.65</v>
      </c>
      <c r="H22" s="145">
        <f t="shared" si="0"/>
        <v>1200.65</v>
      </c>
      <c r="I22" s="13">
        <v>24013</v>
      </c>
      <c r="J22" s="15">
        <f>0.042*7</f>
        <v>0.294</v>
      </c>
      <c r="K22" s="146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42"/>
      <c r="B23" s="15"/>
      <c r="C23" s="143"/>
      <c r="D23" s="144"/>
      <c r="E23" s="143"/>
      <c r="F23" s="147">
        <v>45491</v>
      </c>
      <c r="G23" s="145">
        <f t="shared" si="2"/>
        <v>25213.65</v>
      </c>
      <c r="H23" s="145">
        <f t="shared" si="0"/>
        <v>1200.65</v>
      </c>
      <c r="I23" s="13">
        <v>24013</v>
      </c>
      <c r="J23" s="20">
        <v>0.294</v>
      </c>
      <c r="K23" s="146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42"/>
      <c r="B24" s="15"/>
      <c r="C24" s="143"/>
      <c r="D24" s="144"/>
      <c r="E24" s="143"/>
      <c r="F24" s="147">
        <v>45491</v>
      </c>
      <c r="G24" s="145">
        <f t="shared" si="2"/>
        <v>25213.65</v>
      </c>
      <c r="H24" s="145">
        <f t="shared" si="0"/>
        <v>1200.65</v>
      </c>
      <c r="I24" s="13">
        <v>24013</v>
      </c>
      <c r="J24" s="20">
        <v>0.116</v>
      </c>
      <c r="K24" s="146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42">
        <v>45492</v>
      </c>
      <c r="B25" s="15" t="s">
        <v>39</v>
      </c>
      <c r="C25" s="143" t="s">
        <v>40</v>
      </c>
      <c r="D25" s="144" t="s">
        <v>41</v>
      </c>
      <c r="E25" s="143" t="s">
        <v>42</v>
      </c>
      <c r="F25" s="147">
        <v>45503</v>
      </c>
      <c r="G25" s="145">
        <f t="shared" si="2"/>
        <v>10500</v>
      </c>
      <c r="H25" s="145">
        <f t="shared" si="0"/>
        <v>500</v>
      </c>
      <c r="I25" s="13">
        <v>10000</v>
      </c>
      <c r="J25" s="20">
        <v>0.368</v>
      </c>
      <c r="K25" s="146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42"/>
      <c r="B26" s="15"/>
      <c r="C26" s="143"/>
      <c r="D26" s="144"/>
      <c r="E26" s="143"/>
      <c r="F26" s="147">
        <v>45503</v>
      </c>
      <c r="G26" s="145">
        <f t="shared" si="2"/>
        <v>10500</v>
      </c>
      <c r="H26" s="145">
        <f t="shared" si="0"/>
        <v>500</v>
      </c>
      <c r="I26" s="13">
        <v>10000</v>
      </c>
      <c r="J26" s="15">
        <f>0.042*7</f>
        <v>0.294</v>
      </c>
      <c r="K26" s="146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42"/>
      <c r="B27" s="15"/>
      <c r="C27" s="143"/>
      <c r="D27" s="144"/>
      <c r="E27" s="143"/>
      <c r="F27" s="147">
        <v>45503</v>
      </c>
      <c r="G27" s="145">
        <f t="shared" si="2"/>
        <v>10500</v>
      </c>
      <c r="H27" s="145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42"/>
      <c r="B28" s="15"/>
      <c r="C28" s="143"/>
      <c r="D28" s="144"/>
      <c r="E28" s="143"/>
      <c r="F28" s="147">
        <v>45503</v>
      </c>
      <c r="G28" s="145">
        <f t="shared" si="2"/>
        <v>10500</v>
      </c>
      <c r="H28" s="145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42">
        <v>45499</v>
      </c>
      <c r="B29" s="15" t="s">
        <v>39</v>
      </c>
      <c r="C29" s="143" t="s">
        <v>43</v>
      </c>
      <c r="D29" s="144" t="s">
        <v>44</v>
      </c>
      <c r="E29" s="143" t="s">
        <v>45</v>
      </c>
      <c r="F29" s="147">
        <v>45503</v>
      </c>
      <c r="G29" s="145">
        <f t="shared" si="2"/>
        <v>9765</v>
      </c>
      <c r="H29" s="145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42"/>
      <c r="B30" s="15"/>
      <c r="C30" s="143"/>
      <c r="D30" s="144"/>
      <c r="E30" s="143"/>
      <c r="F30" s="147">
        <v>45503</v>
      </c>
      <c r="G30" s="145">
        <f t="shared" si="2"/>
        <v>9765</v>
      </c>
      <c r="H30" s="145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42"/>
      <c r="B31" s="15"/>
      <c r="C31" s="143"/>
      <c r="D31" s="144"/>
      <c r="E31" s="143"/>
      <c r="F31" s="147">
        <v>45506</v>
      </c>
      <c r="G31" s="145">
        <f t="shared" si="2"/>
        <v>9765</v>
      </c>
      <c r="H31" s="145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42"/>
      <c r="B32" s="15"/>
      <c r="C32" s="143"/>
      <c r="D32" s="144"/>
      <c r="E32" s="143"/>
      <c r="F32" s="147">
        <v>45506</v>
      </c>
      <c r="G32" s="145">
        <f t="shared" si="2"/>
        <v>9765</v>
      </c>
      <c r="H32" s="145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51">
        <v>45439</v>
      </c>
      <c r="B33" s="152" t="s">
        <v>15</v>
      </c>
      <c r="C33" s="153">
        <v>54401</v>
      </c>
      <c r="D33" s="154" t="s">
        <v>16</v>
      </c>
      <c r="E33" s="153" t="s">
        <v>17</v>
      </c>
      <c r="F33" s="143" t="s">
        <v>46</v>
      </c>
      <c r="G33" s="13">
        <v>0</v>
      </c>
      <c r="H33" s="13">
        <v>0</v>
      </c>
      <c r="I33" s="13">
        <v>10000</v>
      </c>
      <c r="J33" s="15">
        <v>0.042</v>
      </c>
      <c r="K33" s="146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51">
        <v>45439</v>
      </c>
      <c r="B34" s="152" t="s">
        <v>15</v>
      </c>
      <c r="C34" s="153">
        <v>54404</v>
      </c>
      <c r="D34" s="154" t="s">
        <v>23</v>
      </c>
      <c r="E34" s="153" t="s">
        <v>24</v>
      </c>
      <c r="F34" s="143" t="s">
        <v>46</v>
      </c>
      <c r="G34" s="13">
        <v>0</v>
      </c>
      <c r="H34" s="13">
        <v>0</v>
      </c>
      <c r="I34" s="13">
        <v>30000</v>
      </c>
      <c r="J34" s="15">
        <v>0.042</v>
      </c>
      <c r="K34" s="146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42">
        <v>45477</v>
      </c>
      <c r="B35" s="15" t="s">
        <v>26</v>
      </c>
      <c r="C35" s="143">
        <v>58401</v>
      </c>
      <c r="D35" s="144" t="s">
        <v>32</v>
      </c>
      <c r="E35" s="143" t="s">
        <v>33</v>
      </c>
      <c r="F35" s="147">
        <v>45484</v>
      </c>
      <c r="G35" s="145">
        <v>32552</v>
      </c>
      <c r="H35" s="145">
        <f>G35-I35</f>
        <v>1550</v>
      </c>
      <c r="I35" s="13">
        <v>31002</v>
      </c>
      <c r="J35" s="20">
        <v>0.1</v>
      </c>
      <c r="K35" s="146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opLeftCell="A3" workbookViewId="0">
      <selection activeCell="J8" sqref="J8:J5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66" si="0">H3*I3</f>
        <v>2208</v>
      </c>
    </row>
    <row r="4" s="1" customFormat="1" ht="16.5" spans="1:11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1">
      <c r="A8" s="28">
        <v>45841</v>
      </c>
      <c r="B8" s="28" t="s">
        <v>39</v>
      </c>
      <c r="C8" s="28" t="s">
        <v>58</v>
      </c>
      <c r="D8" s="83" t="s">
        <v>59</v>
      </c>
      <c r="E8" s="28" t="s">
        <v>60</v>
      </c>
      <c r="F8" s="87" t="s">
        <v>61</v>
      </c>
      <c r="G8" s="34" t="s">
        <v>62</v>
      </c>
      <c r="H8" s="34">
        <v>5150</v>
      </c>
      <c r="I8" s="68">
        <v>1.07</v>
      </c>
      <c r="J8" s="133">
        <f t="shared" si="0"/>
        <v>5510.5</v>
      </c>
      <c r="K8" s="25"/>
    </row>
    <row r="9" ht="16.5" spans="1:11">
      <c r="A9" s="28"/>
      <c r="B9" s="28"/>
      <c r="C9" s="28"/>
      <c r="D9" s="83"/>
      <c r="E9" s="28"/>
      <c r="F9" s="88"/>
      <c r="G9" s="34" t="s">
        <v>63</v>
      </c>
      <c r="H9" s="34">
        <v>52</v>
      </c>
      <c r="I9" s="68">
        <v>0</v>
      </c>
      <c r="J9" s="133">
        <f t="shared" si="0"/>
        <v>0</v>
      </c>
      <c r="K9" s="25"/>
    </row>
    <row r="10" ht="16.5" spans="1:11">
      <c r="A10" s="28"/>
      <c r="B10" s="28"/>
      <c r="C10" s="28"/>
      <c r="D10" s="83"/>
      <c r="E10" s="28"/>
      <c r="F10" s="87" t="s">
        <v>61</v>
      </c>
      <c r="G10" s="34" t="s">
        <v>64</v>
      </c>
      <c r="H10" s="34">
        <f>5000</f>
        <v>5000</v>
      </c>
      <c r="I10" s="34">
        <f>0.042*5</f>
        <v>0.21</v>
      </c>
      <c r="J10" s="133">
        <f t="shared" si="0"/>
        <v>1050</v>
      </c>
      <c r="K10" s="25"/>
    </row>
    <row r="11" ht="16.5" spans="1:11">
      <c r="A11" s="28"/>
      <c r="B11" s="28"/>
      <c r="C11" s="28"/>
      <c r="D11" s="83"/>
      <c r="E11" s="28"/>
      <c r="F11" s="87" t="s">
        <v>61</v>
      </c>
      <c r="G11" s="34" t="s">
        <v>65</v>
      </c>
      <c r="H11" s="34">
        <v>5000</v>
      </c>
      <c r="I11" s="34">
        <v>0.11</v>
      </c>
      <c r="J11" s="133">
        <f t="shared" si="0"/>
        <v>550</v>
      </c>
      <c r="K11" s="25"/>
    </row>
    <row r="12" ht="16.5" spans="1:11">
      <c r="A12" s="28">
        <v>45842</v>
      </c>
      <c r="B12" s="29" t="s">
        <v>39</v>
      </c>
      <c r="C12" s="29" t="s">
        <v>66</v>
      </c>
      <c r="D12" s="73" t="s">
        <v>67</v>
      </c>
      <c r="E12" s="29" t="s">
        <v>68</v>
      </c>
      <c r="F12" s="87" t="s">
        <v>61</v>
      </c>
      <c r="G12" s="35" t="s">
        <v>62</v>
      </c>
      <c r="H12" s="134">
        <v>18334</v>
      </c>
      <c r="I12" s="68">
        <v>1.07</v>
      </c>
      <c r="J12" s="133">
        <f t="shared" si="0"/>
        <v>19617.38</v>
      </c>
      <c r="K12" s="1"/>
    </row>
    <row r="13" ht="16.5" spans="1:11">
      <c r="A13" s="28"/>
      <c r="B13" s="29"/>
      <c r="C13" s="29"/>
      <c r="D13" s="73"/>
      <c r="E13" s="29"/>
      <c r="F13" s="88"/>
      <c r="G13" s="35" t="s">
        <v>63</v>
      </c>
      <c r="H13" s="68">
        <v>183</v>
      </c>
      <c r="I13" s="68">
        <v>0</v>
      </c>
      <c r="J13" s="133">
        <f t="shared" si="0"/>
        <v>0</v>
      </c>
      <c r="K13" s="1"/>
    </row>
    <row r="14" ht="16.5" spans="1:11">
      <c r="A14" s="28"/>
      <c r="B14" s="29"/>
      <c r="C14" s="29"/>
      <c r="D14" s="73"/>
      <c r="E14" s="29"/>
      <c r="F14" s="87" t="s">
        <v>61</v>
      </c>
      <c r="G14" s="34" t="s">
        <v>22</v>
      </c>
      <c r="H14" s="34">
        <v>17800</v>
      </c>
      <c r="I14" s="34">
        <v>0.11</v>
      </c>
      <c r="J14" s="133">
        <f t="shared" si="0"/>
        <v>1958</v>
      </c>
      <c r="K14" s="1"/>
    </row>
    <row r="15" ht="16.5" spans="1:11">
      <c r="A15" s="28"/>
      <c r="B15" s="29"/>
      <c r="C15" s="29"/>
      <c r="D15" s="73"/>
      <c r="E15" s="29"/>
      <c r="F15" s="88"/>
      <c r="G15" s="34" t="s">
        <v>64</v>
      </c>
      <c r="H15" s="34">
        <f>17800</f>
        <v>17800</v>
      </c>
      <c r="I15" s="34">
        <f>0.042*5</f>
        <v>0.21</v>
      </c>
      <c r="J15" s="133">
        <f t="shared" si="0"/>
        <v>3738</v>
      </c>
      <c r="K15" s="1"/>
    </row>
    <row r="16" ht="16.5" spans="1:11">
      <c r="A16" s="28">
        <v>45849</v>
      </c>
      <c r="B16" s="28" t="s">
        <v>39</v>
      </c>
      <c r="C16" s="96">
        <v>85358</v>
      </c>
      <c r="D16" s="83" t="s">
        <v>69</v>
      </c>
      <c r="E16" s="28" t="s">
        <v>70</v>
      </c>
      <c r="F16" s="28" t="s">
        <v>61</v>
      </c>
      <c r="G16" s="34" t="s">
        <v>71</v>
      </c>
      <c r="H16" s="34">
        <f>2000*1.03</f>
        <v>2060</v>
      </c>
      <c r="I16" s="101">
        <v>1.07</v>
      </c>
      <c r="J16" s="133">
        <f t="shared" si="0"/>
        <v>2204.2</v>
      </c>
    </row>
    <row r="17" ht="16.5" spans="1:10">
      <c r="A17" s="28"/>
      <c r="B17" s="28"/>
      <c r="C17" s="86"/>
      <c r="D17" s="83"/>
      <c r="E17" s="28"/>
      <c r="F17" s="28"/>
      <c r="G17" s="34" t="s">
        <v>63</v>
      </c>
      <c r="H17" s="34">
        <f>2000*0.01</f>
        <v>20</v>
      </c>
      <c r="I17" s="101">
        <v>0</v>
      </c>
      <c r="J17" s="133">
        <f t="shared" si="0"/>
        <v>0</v>
      </c>
    </row>
    <row r="18" ht="16.5" spans="1:10">
      <c r="A18" s="28"/>
      <c r="B18" s="28"/>
      <c r="C18" s="86"/>
      <c r="D18" s="83"/>
      <c r="E18" s="28"/>
      <c r="F18" s="88" t="s">
        <v>72</v>
      </c>
      <c r="G18" s="34" t="s">
        <v>64</v>
      </c>
      <c r="H18" s="34">
        <f>2000</f>
        <v>2000</v>
      </c>
      <c r="I18" s="85">
        <f>0.042*5</f>
        <v>0.21</v>
      </c>
      <c r="J18" s="133">
        <f t="shared" si="0"/>
        <v>420</v>
      </c>
    </row>
    <row r="19" ht="16.5" spans="1:10">
      <c r="A19" s="28"/>
      <c r="B19" s="28"/>
      <c r="C19" s="86"/>
      <c r="D19" s="83"/>
      <c r="E19" s="28"/>
      <c r="F19" s="88"/>
      <c r="G19" s="34" t="s">
        <v>65</v>
      </c>
      <c r="H19" s="34">
        <v>2000</v>
      </c>
      <c r="I19" s="85">
        <v>0.11</v>
      </c>
      <c r="J19" s="133">
        <f t="shared" si="0"/>
        <v>220</v>
      </c>
    </row>
    <row r="20" ht="16.5" spans="1:10">
      <c r="A20" s="28">
        <v>45849</v>
      </c>
      <c r="B20" s="29" t="s">
        <v>39</v>
      </c>
      <c r="C20" s="29">
        <v>85359</v>
      </c>
      <c r="D20" s="73" t="s">
        <v>73</v>
      </c>
      <c r="E20" s="29" t="s">
        <v>74</v>
      </c>
      <c r="F20" s="28" t="s">
        <v>61</v>
      </c>
      <c r="G20" s="34" t="s">
        <v>62</v>
      </c>
      <c r="H20" s="34">
        <f>1000*1.03</f>
        <v>1030</v>
      </c>
      <c r="I20" s="85">
        <v>1.07</v>
      </c>
      <c r="J20" s="133">
        <f t="shared" si="0"/>
        <v>1102.1</v>
      </c>
    </row>
    <row r="21" ht="16.5" spans="1:10">
      <c r="A21" s="28"/>
      <c r="B21" s="28"/>
      <c r="C21" s="86"/>
      <c r="D21" s="83"/>
      <c r="E21" s="28"/>
      <c r="F21" s="28"/>
      <c r="G21" s="34" t="s">
        <v>63</v>
      </c>
      <c r="H21" s="34">
        <f>1000*0.01</f>
        <v>10</v>
      </c>
      <c r="I21" s="85">
        <v>0</v>
      </c>
      <c r="J21" s="133">
        <f t="shared" si="0"/>
        <v>0</v>
      </c>
    </row>
    <row r="22" ht="16.5" spans="1:10">
      <c r="A22" s="28"/>
      <c r="B22" s="28"/>
      <c r="C22" s="86"/>
      <c r="D22" s="83"/>
      <c r="E22" s="28"/>
      <c r="F22" s="28" t="s">
        <v>72</v>
      </c>
      <c r="G22" s="34" t="s">
        <v>64</v>
      </c>
      <c r="H22" s="34">
        <f>1000</f>
        <v>1000</v>
      </c>
      <c r="I22" s="85">
        <f>0.042*5</f>
        <v>0.21</v>
      </c>
      <c r="J22" s="133">
        <f t="shared" si="0"/>
        <v>210</v>
      </c>
    </row>
    <row r="23" ht="16.5" spans="1:10">
      <c r="A23" s="28"/>
      <c r="B23" s="29"/>
      <c r="C23" s="29"/>
      <c r="D23" s="73"/>
      <c r="E23" s="29"/>
      <c r="F23" s="28"/>
      <c r="G23" s="34" t="s">
        <v>65</v>
      </c>
      <c r="H23" s="34">
        <f>1000</f>
        <v>1000</v>
      </c>
      <c r="I23" s="85">
        <v>0.11</v>
      </c>
      <c r="J23" s="133">
        <f t="shared" si="0"/>
        <v>110</v>
      </c>
    </row>
    <row r="24" ht="16.5" spans="1:10">
      <c r="A24" s="28">
        <v>45866</v>
      </c>
      <c r="B24" s="96" t="s">
        <v>39</v>
      </c>
      <c r="C24" s="96" t="s">
        <v>75</v>
      </c>
      <c r="D24" s="97" t="s">
        <v>76</v>
      </c>
      <c r="E24" s="96" t="s">
        <v>77</v>
      </c>
      <c r="F24" s="87" t="s">
        <v>78</v>
      </c>
      <c r="G24" s="95" t="s">
        <v>79</v>
      </c>
      <c r="H24" s="101">
        <v>19026</v>
      </c>
      <c r="I24" s="101">
        <v>0.24</v>
      </c>
      <c r="J24" s="133">
        <f t="shared" si="0"/>
        <v>4566.24</v>
      </c>
    </row>
    <row r="25" ht="16.5" spans="1:10">
      <c r="A25" s="28"/>
      <c r="B25" s="96"/>
      <c r="C25" s="96"/>
      <c r="D25" s="97"/>
      <c r="E25" s="96"/>
      <c r="F25" s="88"/>
      <c r="G25" s="95" t="s">
        <v>65</v>
      </c>
      <c r="H25" s="101">
        <v>19026</v>
      </c>
      <c r="I25" s="101">
        <v>0.11</v>
      </c>
      <c r="J25" s="133">
        <f t="shared" si="0"/>
        <v>2092.86</v>
      </c>
    </row>
    <row r="26" ht="16.5" spans="1:10">
      <c r="A26" s="28"/>
      <c r="B26" s="96"/>
      <c r="C26" s="96"/>
      <c r="D26" s="97"/>
      <c r="E26" s="96"/>
      <c r="F26" s="28" t="s">
        <v>80</v>
      </c>
      <c r="G26" s="95" t="s">
        <v>81</v>
      </c>
      <c r="H26" s="135">
        <v>19597</v>
      </c>
      <c r="I26" s="95">
        <v>1.07</v>
      </c>
      <c r="J26" s="133">
        <f t="shared" si="0"/>
        <v>20968.79</v>
      </c>
    </row>
    <row r="27" ht="16.5" spans="1:10">
      <c r="A27" s="28"/>
      <c r="B27" s="96"/>
      <c r="C27" s="96"/>
      <c r="D27" s="97"/>
      <c r="E27" s="96"/>
      <c r="F27" s="28"/>
      <c r="G27" s="95" t="s">
        <v>82</v>
      </c>
      <c r="H27" s="95">
        <v>190</v>
      </c>
      <c r="I27" s="95">
        <v>0</v>
      </c>
      <c r="J27" s="133">
        <f t="shared" si="0"/>
        <v>0</v>
      </c>
    </row>
    <row r="28" ht="16.5" spans="1:10">
      <c r="A28" s="28"/>
      <c r="B28" s="96"/>
      <c r="C28" s="96"/>
      <c r="D28" s="97"/>
      <c r="E28" s="96"/>
      <c r="F28" s="28"/>
      <c r="G28" s="95" t="s">
        <v>83</v>
      </c>
      <c r="H28" s="95">
        <v>55</v>
      </c>
      <c r="I28" s="95">
        <v>0</v>
      </c>
      <c r="J28" s="133">
        <f t="shared" si="0"/>
        <v>0</v>
      </c>
    </row>
    <row r="29" ht="16.5" spans="1:10">
      <c r="A29" s="28"/>
      <c r="B29" s="96"/>
      <c r="C29" s="96"/>
      <c r="D29" s="97"/>
      <c r="E29" s="96"/>
      <c r="F29" s="28" t="s">
        <v>72</v>
      </c>
      <c r="G29" s="85" t="s">
        <v>64</v>
      </c>
      <c r="H29" s="85">
        <f>H25</f>
        <v>19026</v>
      </c>
      <c r="I29" s="85">
        <f>0.042*5</f>
        <v>0.21</v>
      </c>
      <c r="J29" s="133">
        <f t="shared" si="0"/>
        <v>3995.46</v>
      </c>
    </row>
    <row r="30" ht="16.5" spans="1:10">
      <c r="A30" s="28">
        <v>45867</v>
      </c>
      <c r="B30" s="96" t="s">
        <v>39</v>
      </c>
      <c r="C30" s="96" t="s">
        <v>84</v>
      </c>
      <c r="D30" s="97" t="s">
        <v>85</v>
      </c>
      <c r="E30" s="96" t="s">
        <v>86</v>
      </c>
      <c r="F30" s="87" t="s">
        <v>78</v>
      </c>
      <c r="G30" s="95" t="s">
        <v>62</v>
      </c>
      <c r="H30" s="85">
        <v>6490</v>
      </c>
      <c r="I30" s="85">
        <v>1.07</v>
      </c>
      <c r="J30" s="133">
        <f t="shared" si="0"/>
        <v>6944.3</v>
      </c>
    </row>
    <row r="31" ht="16.5" spans="1:10">
      <c r="A31" s="28"/>
      <c r="B31" s="96"/>
      <c r="C31" s="96"/>
      <c r="D31" s="97"/>
      <c r="E31" s="96"/>
      <c r="F31" s="88"/>
      <c r="G31" s="95" t="s">
        <v>63</v>
      </c>
      <c r="H31" s="85">
        <v>65</v>
      </c>
      <c r="I31" s="85">
        <v>0</v>
      </c>
      <c r="J31" s="133">
        <f t="shared" si="0"/>
        <v>0</v>
      </c>
    </row>
    <row r="32" ht="16.5" spans="1:10">
      <c r="A32" s="28"/>
      <c r="B32" s="96"/>
      <c r="C32" s="96"/>
      <c r="D32" s="97"/>
      <c r="E32" s="96"/>
      <c r="F32" s="88"/>
      <c r="G32" s="85" t="s">
        <v>22</v>
      </c>
      <c r="H32" s="85">
        <v>6300</v>
      </c>
      <c r="I32" s="85">
        <v>0.11</v>
      </c>
      <c r="J32" s="133">
        <f t="shared" si="0"/>
        <v>693</v>
      </c>
    </row>
    <row r="33" ht="16.5" spans="1:10">
      <c r="A33" s="28"/>
      <c r="B33" s="96"/>
      <c r="C33" s="96"/>
      <c r="D33" s="97"/>
      <c r="E33" s="96"/>
      <c r="F33" s="88"/>
      <c r="G33" s="85" t="s">
        <v>64</v>
      </c>
      <c r="H33" s="85">
        <f>6300</f>
        <v>6300</v>
      </c>
      <c r="I33" s="85">
        <f>0.042*5</f>
        <v>0.21</v>
      </c>
      <c r="J33" s="133">
        <f t="shared" si="0"/>
        <v>1323</v>
      </c>
    </row>
    <row r="34" ht="16.5" spans="1:10">
      <c r="A34" s="28"/>
      <c r="B34" s="96"/>
      <c r="C34" s="96"/>
      <c r="D34" s="97"/>
      <c r="E34" s="96"/>
      <c r="F34" s="88"/>
      <c r="G34" s="95" t="s">
        <v>79</v>
      </c>
      <c r="H34" s="85">
        <v>17000</v>
      </c>
      <c r="I34" s="85">
        <v>0.24</v>
      </c>
      <c r="J34" s="133">
        <f t="shared" si="0"/>
        <v>4080</v>
      </c>
    </row>
    <row r="35" ht="16.5" spans="1:10">
      <c r="A35" s="28"/>
      <c r="B35" s="96"/>
      <c r="C35" s="96"/>
      <c r="D35" s="97"/>
      <c r="E35" s="96"/>
      <c r="F35" s="88"/>
      <c r="G35" s="95" t="s">
        <v>71</v>
      </c>
      <c r="H35" s="85">
        <v>6489</v>
      </c>
      <c r="I35" s="85">
        <v>1.07</v>
      </c>
      <c r="J35" s="133">
        <f t="shared" si="0"/>
        <v>6943.23</v>
      </c>
    </row>
    <row r="36" ht="16.5" spans="1:10">
      <c r="A36" s="28"/>
      <c r="B36" s="96"/>
      <c r="C36" s="96"/>
      <c r="D36" s="97"/>
      <c r="E36" s="96"/>
      <c r="F36" s="88"/>
      <c r="G36" s="95" t="s">
        <v>63</v>
      </c>
      <c r="H36" s="85">
        <v>63</v>
      </c>
      <c r="I36" s="85">
        <v>0</v>
      </c>
      <c r="J36" s="133">
        <f t="shared" si="0"/>
        <v>0</v>
      </c>
    </row>
    <row r="37" ht="16.5" spans="1:10">
      <c r="A37" s="28"/>
      <c r="B37" s="96"/>
      <c r="C37" s="96"/>
      <c r="D37" s="97"/>
      <c r="E37" s="96"/>
      <c r="F37" s="88"/>
      <c r="G37" s="85" t="s">
        <v>22</v>
      </c>
      <c r="H37" s="85">
        <v>6300</v>
      </c>
      <c r="I37" s="85">
        <v>0.11</v>
      </c>
      <c r="J37" s="133">
        <f t="shared" si="0"/>
        <v>693</v>
      </c>
    </row>
    <row r="38" ht="16.5" spans="1:10">
      <c r="A38" s="28"/>
      <c r="B38" s="96"/>
      <c r="C38" s="96"/>
      <c r="D38" s="97"/>
      <c r="E38" s="96"/>
      <c r="F38" s="102"/>
      <c r="G38" s="85" t="s">
        <v>64</v>
      </c>
      <c r="H38" s="85">
        <f>6300</f>
        <v>6300</v>
      </c>
      <c r="I38" s="85">
        <f>0.042*5</f>
        <v>0.21</v>
      </c>
      <c r="J38" s="133">
        <f t="shared" si="0"/>
        <v>1323</v>
      </c>
    </row>
    <row r="39" ht="16.5" spans="1:10">
      <c r="A39" s="28">
        <v>45849</v>
      </c>
      <c r="B39" s="28" t="s">
        <v>39</v>
      </c>
      <c r="C39" s="86"/>
      <c r="D39" s="83" t="s">
        <v>87</v>
      </c>
      <c r="E39" s="28" t="s">
        <v>88</v>
      </c>
      <c r="F39" s="87" t="s">
        <v>72</v>
      </c>
      <c r="G39" s="34" t="s">
        <v>71</v>
      </c>
      <c r="H39" s="34">
        <v>1062</v>
      </c>
      <c r="I39" s="101">
        <v>1.07</v>
      </c>
      <c r="J39" s="133">
        <f t="shared" si="0"/>
        <v>1136.34</v>
      </c>
    </row>
    <row r="40" ht="16.5" spans="1:10">
      <c r="A40" s="28"/>
      <c r="B40" s="28"/>
      <c r="C40" s="86"/>
      <c r="D40" s="83"/>
      <c r="E40" s="28"/>
      <c r="F40" s="88"/>
      <c r="G40" s="34" t="s">
        <v>63</v>
      </c>
      <c r="H40" s="34">
        <v>11</v>
      </c>
      <c r="I40" s="101">
        <v>0</v>
      </c>
      <c r="J40" s="133">
        <f t="shared" si="0"/>
        <v>0</v>
      </c>
    </row>
    <row r="41" ht="16.5" spans="1:10">
      <c r="A41" s="28">
        <v>45870</v>
      </c>
      <c r="B41" s="28" t="s">
        <v>39</v>
      </c>
      <c r="C41" s="96">
        <v>86578</v>
      </c>
      <c r="D41" s="83" t="s">
        <v>89</v>
      </c>
      <c r="E41" s="28" t="s">
        <v>90</v>
      </c>
      <c r="F41" s="87" t="s">
        <v>78</v>
      </c>
      <c r="G41" s="34" t="s">
        <v>62</v>
      </c>
      <c r="H41" s="34">
        <v>3264</v>
      </c>
      <c r="I41" s="101">
        <v>1.07</v>
      </c>
      <c r="J41" s="133">
        <f t="shared" si="0"/>
        <v>3492.48</v>
      </c>
    </row>
    <row r="42" ht="16.5" spans="1:10">
      <c r="A42" s="28"/>
      <c r="B42" s="28"/>
      <c r="C42" s="86"/>
      <c r="D42" s="83"/>
      <c r="E42" s="28"/>
      <c r="F42" s="88"/>
      <c r="G42" s="34" t="s">
        <v>63</v>
      </c>
      <c r="H42" s="34">
        <v>33</v>
      </c>
      <c r="I42" s="101">
        <v>0</v>
      </c>
      <c r="J42" s="133">
        <f t="shared" si="0"/>
        <v>0</v>
      </c>
    </row>
    <row r="43" ht="16.5" spans="1:10">
      <c r="A43" s="28"/>
      <c r="B43" s="28"/>
      <c r="C43" s="86"/>
      <c r="D43" s="83"/>
      <c r="E43" s="28"/>
      <c r="F43" s="88"/>
      <c r="G43" s="34" t="s">
        <v>91</v>
      </c>
      <c r="H43" s="34">
        <v>30</v>
      </c>
      <c r="I43" s="101">
        <v>0</v>
      </c>
      <c r="J43" s="133">
        <f t="shared" si="0"/>
        <v>0</v>
      </c>
    </row>
    <row r="44" ht="16.5" spans="1:10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133">
        <f t="shared" si="0"/>
        <v>330</v>
      </c>
    </row>
    <row r="45" ht="16.5" spans="1:10">
      <c r="A45" s="28"/>
      <c r="B45" s="28"/>
      <c r="C45" s="86"/>
      <c r="D45" s="83"/>
      <c r="E45" s="28"/>
      <c r="F45" s="102"/>
      <c r="G45" s="34" t="s">
        <v>64</v>
      </c>
      <c r="H45" s="34">
        <v>3000</v>
      </c>
      <c r="I45" s="85">
        <f>0.042*5</f>
        <v>0.21</v>
      </c>
      <c r="J45" s="133">
        <f t="shared" si="0"/>
        <v>630</v>
      </c>
    </row>
    <row r="46" ht="16.5" spans="1:10">
      <c r="A46" s="28">
        <v>45876</v>
      </c>
      <c r="B46" s="29" t="s">
        <v>39</v>
      </c>
      <c r="C46" s="29">
        <v>40061</v>
      </c>
      <c r="D46" s="73" t="s">
        <v>92</v>
      </c>
      <c r="E46" s="29" t="s">
        <v>93</v>
      </c>
      <c r="F46" s="28" t="s">
        <v>94</v>
      </c>
      <c r="G46" s="35" t="s">
        <v>81</v>
      </c>
      <c r="H46" s="35">
        <v>6180</v>
      </c>
      <c r="I46" s="95">
        <v>1.07</v>
      </c>
      <c r="J46" s="133">
        <f t="shared" si="0"/>
        <v>6612.6</v>
      </c>
    </row>
    <row r="47" ht="16.5" spans="1:10">
      <c r="A47" s="28"/>
      <c r="B47" s="29"/>
      <c r="C47" s="29"/>
      <c r="D47" s="73"/>
      <c r="E47" s="29"/>
      <c r="F47" s="28"/>
      <c r="G47" s="35" t="s">
        <v>82</v>
      </c>
      <c r="H47" s="35">
        <v>60</v>
      </c>
      <c r="I47" s="95">
        <v>0</v>
      </c>
      <c r="J47" s="133">
        <f t="shared" si="0"/>
        <v>0</v>
      </c>
    </row>
    <row r="48" ht="16.5" spans="1:10">
      <c r="A48" s="28"/>
      <c r="B48" s="29"/>
      <c r="C48" s="29"/>
      <c r="D48" s="73"/>
      <c r="E48" s="29"/>
      <c r="F48" s="28"/>
      <c r="G48" s="35" t="s">
        <v>83</v>
      </c>
      <c r="H48" s="35">
        <v>30</v>
      </c>
      <c r="I48" s="95">
        <v>0</v>
      </c>
      <c r="J48" s="133">
        <f t="shared" si="0"/>
        <v>0</v>
      </c>
    </row>
    <row r="49" ht="16.5" spans="1:10">
      <c r="A49" s="28"/>
      <c r="B49" s="29"/>
      <c r="C49" s="29"/>
      <c r="D49" s="73"/>
      <c r="E49" s="29"/>
      <c r="F49" s="28"/>
      <c r="G49" s="34" t="s">
        <v>64</v>
      </c>
      <c r="H49" s="34">
        <v>6000</v>
      </c>
      <c r="I49" s="85">
        <f>0.042*5</f>
        <v>0.21</v>
      </c>
      <c r="J49" s="133">
        <f t="shared" si="0"/>
        <v>1260</v>
      </c>
    </row>
    <row r="50" ht="16.5" spans="1:10">
      <c r="A50" s="28"/>
      <c r="B50" s="29"/>
      <c r="C50" s="29"/>
      <c r="D50" s="73"/>
      <c r="E50" s="29"/>
      <c r="F50" s="28"/>
      <c r="G50" s="35" t="s">
        <v>65</v>
      </c>
      <c r="H50" s="34">
        <v>6000</v>
      </c>
      <c r="I50" s="85">
        <v>0.11</v>
      </c>
      <c r="J50" s="133">
        <f t="shared" si="0"/>
        <v>660</v>
      </c>
    </row>
    <row r="51" ht="16.5" spans="1:10">
      <c r="A51" s="28">
        <v>45889</v>
      </c>
      <c r="B51" s="28" t="s">
        <v>39</v>
      </c>
      <c r="C51" s="96" t="s">
        <v>95</v>
      </c>
      <c r="D51" s="83" t="s">
        <v>96</v>
      </c>
      <c r="E51" s="28" t="s">
        <v>97</v>
      </c>
      <c r="F51" s="87" t="s">
        <v>98</v>
      </c>
      <c r="G51" s="34" t="s">
        <v>99</v>
      </c>
      <c r="H51" s="34">
        <v>1235</v>
      </c>
      <c r="I51" s="101">
        <v>1.07</v>
      </c>
      <c r="J51" s="35">
        <f t="shared" si="0"/>
        <v>1321.45</v>
      </c>
    </row>
    <row r="52" ht="16.5" spans="1:10">
      <c r="A52" s="28"/>
      <c r="B52" s="28"/>
      <c r="C52" s="86"/>
      <c r="D52" s="83"/>
      <c r="E52" s="28"/>
      <c r="F52" s="88"/>
      <c r="G52" s="34" t="s">
        <v>82</v>
      </c>
      <c r="H52" s="34">
        <v>12</v>
      </c>
      <c r="I52" s="101">
        <v>0</v>
      </c>
      <c r="J52" s="35">
        <f t="shared" si="0"/>
        <v>0</v>
      </c>
    </row>
    <row r="53" ht="16.5" spans="1:10">
      <c r="A53" s="28"/>
      <c r="B53" s="28"/>
      <c r="C53" s="86"/>
      <c r="D53" s="83"/>
      <c r="E53" s="28"/>
      <c r="F53" s="102"/>
      <c r="G53" s="34" t="s">
        <v>83</v>
      </c>
      <c r="H53" s="34">
        <f>5*10+5</f>
        <v>55</v>
      </c>
      <c r="I53" s="101">
        <v>0</v>
      </c>
      <c r="J53" s="35">
        <f t="shared" si="0"/>
        <v>0</v>
      </c>
    </row>
    <row r="54" ht="16.5" spans="1:10">
      <c r="A54" s="28"/>
      <c r="B54" s="28"/>
      <c r="C54" s="86"/>
      <c r="D54" s="83"/>
      <c r="E54" s="28"/>
      <c r="F54" s="87" t="s">
        <v>100</v>
      </c>
      <c r="G54" s="34" t="s">
        <v>79</v>
      </c>
      <c r="H54" s="34">
        <f>1225+10</f>
        <v>1235</v>
      </c>
      <c r="I54" s="101">
        <v>0.24</v>
      </c>
      <c r="J54" s="35">
        <f t="shared" si="0"/>
        <v>296.4</v>
      </c>
    </row>
    <row r="55" ht="16.5" spans="1:10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35">
        <f t="shared" si="0"/>
        <v>135.85</v>
      </c>
    </row>
    <row r="56" ht="16.5" spans="1:10">
      <c r="A56" s="28"/>
      <c r="B56" s="28"/>
      <c r="C56" s="86"/>
      <c r="D56" s="83"/>
      <c r="E56" s="28"/>
      <c r="F56" s="28" t="s">
        <v>101</v>
      </c>
      <c r="G56" s="34" t="s">
        <v>64</v>
      </c>
      <c r="H56" s="34">
        <f>1235</f>
        <v>1235</v>
      </c>
      <c r="I56" s="85">
        <f>0.042*5</f>
        <v>0.21</v>
      </c>
      <c r="J56" s="35">
        <f t="shared" si="0"/>
        <v>259.35</v>
      </c>
    </row>
    <row r="57" ht="16.5" spans="1:10">
      <c r="A57" s="28">
        <v>45919</v>
      </c>
      <c r="B57" s="29" t="s">
        <v>39</v>
      </c>
      <c r="C57" s="65" t="s">
        <v>102</v>
      </c>
      <c r="D57" s="73" t="s">
        <v>103</v>
      </c>
      <c r="E57" s="29" t="s">
        <v>104</v>
      </c>
      <c r="F57" s="92" t="s">
        <v>105</v>
      </c>
      <c r="G57" s="35" t="s">
        <v>99</v>
      </c>
      <c r="H57" s="35">
        <f>5000+2000+20</f>
        <v>7020</v>
      </c>
      <c r="I57" s="34">
        <v>1.07</v>
      </c>
      <c r="J57" s="35">
        <f t="shared" si="0"/>
        <v>7511.4</v>
      </c>
    </row>
    <row r="58" ht="16.5" spans="1:10">
      <c r="A58" s="28"/>
      <c r="B58" s="29"/>
      <c r="C58" s="29"/>
      <c r="D58" s="73"/>
      <c r="E58" s="29"/>
      <c r="F58" s="94"/>
      <c r="G58" s="35" t="s">
        <v>82</v>
      </c>
      <c r="H58" s="35">
        <v>70</v>
      </c>
      <c r="I58" s="34">
        <v>0</v>
      </c>
      <c r="J58" s="35">
        <f t="shared" si="0"/>
        <v>0</v>
      </c>
    </row>
    <row r="59" ht="16.5" spans="1:10">
      <c r="A59" s="28"/>
      <c r="B59" s="29"/>
      <c r="C59" s="29"/>
      <c r="D59" s="73"/>
      <c r="E59" s="29"/>
      <c r="F59" s="103"/>
      <c r="G59" s="35" t="s">
        <v>83</v>
      </c>
      <c r="H59" s="35">
        <f>5*5*2+5</f>
        <v>55</v>
      </c>
      <c r="I59" s="34">
        <v>0</v>
      </c>
      <c r="J59" s="35">
        <f t="shared" si="0"/>
        <v>0</v>
      </c>
    </row>
    <row r="60" ht="16.5" spans="1:10">
      <c r="A60" s="28"/>
      <c r="B60" s="29"/>
      <c r="C60" s="29"/>
      <c r="D60" s="73"/>
      <c r="E60" s="29"/>
      <c r="F60" s="89" t="s">
        <v>106</v>
      </c>
      <c r="G60" s="34" t="s">
        <v>107</v>
      </c>
      <c r="H60" s="35">
        <f>7020</f>
        <v>7020</v>
      </c>
      <c r="I60" s="34">
        <f>0.042*4</f>
        <v>0.168</v>
      </c>
      <c r="J60" s="35">
        <f t="shared" si="0"/>
        <v>1179.36</v>
      </c>
    </row>
    <row r="61" ht="16.5" spans="1:10">
      <c r="A61" s="28"/>
      <c r="B61" s="29"/>
      <c r="C61" s="29"/>
      <c r="D61" s="73"/>
      <c r="E61" s="29"/>
      <c r="F61" s="92" t="s">
        <v>108</v>
      </c>
      <c r="G61" s="35" t="s">
        <v>79</v>
      </c>
      <c r="H61" s="35">
        <v>7020</v>
      </c>
      <c r="I61" s="35">
        <v>0.24</v>
      </c>
      <c r="J61" s="35">
        <f t="shared" si="0"/>
        <v>1684.8</v>
      </c>
    </row>
    <row r="62" ht="16.5" spans="1:10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35">
        <f t="shared" si="0"/>
        <v>772.2</v>
      </c>
    </row>
    <row r="63" ht="16.5" spans="1:10">
      <c r="A63" s="28">
        <v>45919</v>
      </c>
      <c r="B63" s="29" t="s">
        <v>39</v>
      </c>
      <c r="C63" s="65" t="s">
        <v>109</v>
      </c>
      <c r="D63" s="73" t="s">
        <v>110</v>
      </c>
      <c r="E63" s="29" t="s">
        <v>111</v>
      </c>
      <c r="F63" s="92" t="s">
        <v>112</v>
      </c>
      <c r="G63" s="35" t="s">
        <v>113</v>
      </c>
      <c r="H63" s="35">
        <f>5000+2000</f>
        <v>7000</v>
      </c>
      <c r="I63" s="35">
        <v>0.85</v>
      </c>
      <c r="J63" s="35">
        <f t="shared" si="0"/>
        <v>5950</v>
      </c>
    </row>
    <row r="64" ht="16.5" spans="1:10">
      <c r="A64" s="28"/>
      <c r="B64" s="29"/>
      <c r="C64" s="29"/>
      <c r="D64" s="73"/>
      <c r="E64" s="29"/>
      <c r="F64" s="94"/>
      <c r="G64" s="35" t="s">
        <v>114</v>
      </c>
      <c r="H64" s="35">
        <f>7000*0.01</f>
        <v>70</v>
      </c>
      <c r="I64" s="35">
        <v>0</v>
      </c>
      <c r="J64" s="35">
        <f t="shared" si="0"/>
        <v>0</v>
      </c>
    </row>
    <row r="65" ht="16.5" spans="1:10">
      <c r="A65" s="28"/>
      <c r="B65" s="29"/>
      <c r="C65" s="29"/>
      <c r="D65" s="73"/>
      <c r="E65" s="29"/>
      <c r="F65" s="94"/>
      <c r="G65" s="35" t="s">
        <v>115</v>
      </c>
      <c r="H65" s="35">
        <f>5*5*2+5</f>
        <v>55</v>
      </c>
      <c r="I65" s="35">
        <v>0</v>
      </c>
      <c r="J65" s="35">
        <f t="shared" si="0"/>
        <v>0</v>
      </c>
    </row>
    <row r="66" ht="16.5" spans="1:10">
      <c r="A66" s="28"/>
      <c r="B66" s="29"/>
      <c r="C66" s="29"/>
      <c r="D66" s="73"/>
      <c r="E66" s="29"/>
      <c r="F66" s="94"/>
      <c r="G66" s="35" t="s">
        <v>116</v>
      </c>
      <c r="H66" s="35">
        <v>7000</v>
      </c>
      <c r="I66" s="35">
        <v>0.15</v>
      </c>
      <c r="J66" s="35">
        <f t="shared" si="0"/>
        <v>1050</v>
      </c>
    </row>
    <row r="67" ht="16.5" spans="1:10">
      <c r="A67" s="28"/>
      <c r="B67" s="29"/>
      <c r="C67" s="29"/>
      <c r="D67" s="73"/>
      <c r="E67" s="29"/>
      <c r="F67" s="89" t="s">
        <v>106</v>
      </c>
      <c r="G67" s="34" t="s">
        <v>107</v>
      </c>
      <c r="H67" s="35">
        <f>7000</f>
        <v>7000</v>
      </c>
      <c r="I67" s="34">
        <f>0.042*4</f>
        <v>0.168</v>
      </c>
      <c r="J67" s="35">
        <f t="shared" ref="J67:J100" si="1">H67*I67</f>
        <v>1176</v>
      </c>
    </row>
    <row r="68" ht="16.5" spans="1:10">
      <c r="A68" s="28"/>
      <c r="B68" s="29"/>
      <c r="C68" s="29"/>
      <c r="D68" s="73"/>
      <c r="E68" s="29"/>
      <c r="F68" s="94" t="s">
        <v>117</v>
      </c>
      <c r="G68" s="35" t="s">
        <v>79</v>
      </c>
      <c r="H68" s="35">
        <v>7000</v>
      </c>
      <c r="I68" s="35">
        <v>0.24</v>
      </c>
      <c r="J68" s="35">
        <f t="shared" si="1"/>
        <v>1680</v>
      </c>
    </row>
    <row r="69" ht="16.5" spans="1:10">
      <c r="A69" s="28"/>
      <c r="B69" s="29"/>
      <c r="C69" s="29"/>
      <c r="D69" s="73"/>
      <c r="E69" s="29"/>
      <c r="F69" s="94"/>
      <c r="G69" s="35" t="s">
        <v>118</v>
      </c>
      <c r="H69" s="35">
        <v>7000</v>
      </c>
      <c r="I69" s="35">
        <v>0.22</v>
      </c>
      <c r="J69" s="35">
        <f t="shared" si="1"/>
        <v>1540</v>
      </c>
    </row>
    <row r="70" ht="16.5" spans="1:10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35">
        <f t="shared" si="1"/>
        <v>770</v>
      </c>
    </row>
    <row r="71" ht="16.5" spans="1:10">
      <c r="A71" s="28">
        <v>45937</v>
      </c>
      <c r="B71" s="29" t="s">
        <v>39</v>
      </c>
      <c r="C71" s="65" t="s">
        <v>119</v>
      </c>
      <c r="D71" s="73" t="s">
        <v>120</v>
      </c>
      <c r="E71" s="29" t="s">
        <v>121</v>
      </c>
      <c r="F71" s="89" t="s">
        <v>122</v>
      </c>
      <c r="G71" s="35" t="s">
        <v>123</v>
      </c>
      <c r="H71" s="35">
        <v>25771</v>
      </c>
      <c r="I71" s="34">
        <v>1.07</v>
      </c>
      <c r="J71" s="35">
        <f t="shared" si="1"/>
        <v>27574.97</v>
      </c>
    </row>
    <row r="72" ht="16.5" spans="1:10">
      <c r="A72" s="28"/>
      <c r="B72" s="29"/>
      <c r="C72" s="29"/>
      <c r="D72" s="73"/>
      <c r="E72" s="29"/>
      <c r="F72" s="89"/>
      <c r="G72" s="35" t="s">
        <v>82</v>
      </c>
      <c r="H72" s="35">
        <v>200</v>
      </c>
      <c r="I72" s="34">
        <v>0</v>
      </c>
      <c r="J72" s="35">
        <f t="shared" si="1"/>
        <v>0</v>
      </c>
    </row>
    <row r="73" ht="16.5" spans="1:10">
      <c r="A73" s="28"/>
      <c r="B73" s="29"/>
      <c r="C73" s="29"/>
      <c r="D73" s="73"/>
      <c r="E73" s="29"/>
      <c r="F73" s="89"/>
      <c r="G73" s="35" t="s">
        <v>83</v>
      </c>
      <c r="H73" s="35">
        <f>5*5*2+10</f>
        <v>60</v>
      </c>
      <c r="I73" s="34">
        <v>0</v>
      </c>
      <c r="J73" s="35">
        <f t="shared" si="1"/>
        <v>0</v>
      </c>
    </row>
    <row r="74" ht="16.5" spans="1:10">
      <c r="A74" s="28"/>
      <c r="B74" s="29"/>
      <c r="C74" s="29"/>
      <c r="D74" s="73"/>
      <c r="E74" s="29"/>
      <c r="F74" s="89"/>
      <c r="G74" s="34" t="s">
        <v>107</v>
      </c>
      <c r="H74" s="35">
        <f>25020</f>
        <v>25020</v>
      </c>
      <c r="I74" s="34">
        <f>0.042*4</f>
        <v>0.168</v>
      </c>
      <c r="J74" s="35">
        <f t="shared" si="1"/>
        <v>4203.36</v>
      </c>
    </row>
    <row r="75" ht="16.5" spans="1:10">
      <c r="A75" s="28"/>
      <c r="B75" s="29"/>
      <c r="C75" s="29"/>
      <c r="D75" s="73"/>
      <c r="E75" s="29"/>
      <c r="F75" s="89"/>
      <c r="G75" s="35" t="s">
        <v>79</v>
      </c>
      <c r="H75" s="35">
        <v>25020</v>
      </c>
      <c r="I75" s="35">
        <v>0.24</v>
      </c>
      <c r="J75" s="35">
        <f t="shared" si="1"/>
        <v>6004.8</v>
      </c>
    </row>
    <row r="76" ht="16.5" spans="1:10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35">
        <f t="shared" si="1"/>
        <v>2752.2</v>
      </c>
    </row>
    <row r="77" ht="16.5" spans="1:10">
      <c r="A77" s="28">
        <v>45944</v>
      </c>
      <c r="B77" s="29" t="s">
        <v>39</v>
      </c>
      <c r="C77" s="65" t="s">
        <v>109</v>
      </c>
      <c r="D77" s="73" t="s">
        <v>124</v>
      </c>
      <c r="E77" s="29" t="s">
        <v>125</v>
      </c>
      <c r="F77" s="89" t="s">
        <v>126</v>
      </c>
      <c r="G77" s="35" t="s">
        <v>113</v>
      </c>
      <c r="H77" s="35">
        <v>210</v>
      </c>
      <c r="I77" s="35">
        <v>0.85</v>
      </c>
      <c r="J77" s="35">
        <f t="shared" si="1"/>
        <v>178.5</v>
      </c>
    </row>
    <row r="78" ht="16.5" spans="1:10">
      <c r="A78" s="28"/>
      <c r="B78" s="29"/>
      <c r="C78" s="29"/>
      <c r="D78" s="73"/>
      <c r="E78" s="29"/>
      <c r="F78" s="89"/>
      <c r="G78" s="35" t="s">
        <v>114</v>
      </c>
      <c r="H78" s="35">
        <v>2</v>
      </c>
      <c r="I78" s="35">
        <v>0</v>
      </c>
      <c r="J78" s="35">
        <f t="shared" si="1"/>
        <v>0</v>
      </c>
    </row>
    <row r="79" ht="16.5" spans="1:10">
      <c r="A79" s="28"/>
      <c r="B79" s="29"/>
      <c r="C79" s="29"/>
      <c r="D79" s="73"/>
      <c r="E79" s="29"/>
      <c r="F79" s="89"/>
      <c r="G79" s="35" t="s">
        <v>116</v>
      </c>
      <c r="H79" s="35">
        <v>153</v>
      </c>
      <c r="I79" s="35">
        <v>0.15</v>
      </c>
      <c r="J79" s="35">
        <f t="shared" si="1"/>
        <v>22.95</v>
      </c>
    </row>
    <row r="80" ht="16.5" spans="1:10">
      <c r="A80" s="28"/>
      <c r="B80" s="29"/>
      <c r="C80" s="29"/>
      <c r="D80" s="73"/>
      <c r="E80" s="29"/>
      <c r="F80" s="89"/>
      <c r="G80" s="34" t="s">
        <v>107</v>
      </c>
      <c r="H80" s="35">
        <f>153</f>
        <v>153</v>
      </c>
      <c r="I80" s="34">
        <f>0.042*4</f>
        <v>0.168</v>
      </c>
      <c r="J80" s="35">
        <f t="shared" si="1"/>
        <v>25.704</v>
      </c>
    </row>
    <row r="81" ht="16.5" spans="1:11">
      <c r="A81" s="28"/>
      <c r="B81" s="29"/>
      <c r="C81" s="29"/>
      <c r="D81" s="73"/>
      <c r="E81" s="29"/>
      <c r="F81" s="89"/>
      <c r="G81" s="35" t="s">
        <v>79</v>
      </c>
      <c r="H81" s="35">
        <v>153</v>
      </c>
      <c r="I81" s="35">
        <v>0.24</v>
      </c>
      <c r="J81" s="35">
        <f t="shared" si="1"/>
        <v>36.72</v>
      </c>
    </row>
    <row r="82" ht="16.5" spans="1:11">
      <c r="A82" s="28"/>
      <c r="B82" s="29"/>
      <c r="C82" s="29"/>
      <c r="D82" s="73"/>
      <c r="E82" s="29"/>
      <c r="F82" s="89"/>
      <c r="G82" s="35" t="s">
        <v>118</v>
      </c>
      <c r="H82" s="35">
        <v>153</v>
      </c>
      <c r="I82" s="35">
        <v>0.22</v>
      </c>
      <c r="J82" s="35">
        <f t="shared" si="1"/>
        <v>33.66</v>
      </c>
    </row>
    <row r="83" ht="16.5" spans="1:11">
      <c r="A83" s="28">
        <v>45944</v>
      </c>
      <c r="B83" s="29" t="s">
        <v>39</v>
      </c>
      <c r="C83" s="65" t="s">
        <v>102</v>
      </c>
      <c r="D83" s="73" t="s">
        <v>127</v>
      </c>
      <c r="E83" s="29" t="s">
        <v>128</v>
      </c>
      <c r="F83" s="89" t="s">
        <v>126</v>
      </c>
      <c r="G83" s="35" t="s">
        <v>129</v>
      </c>
      <c r="H83" s="35">
        <v>211</v>
      </c>
      <c r="I83" s="34">
        <v>1.07</v>
      </c>
      <c r="J83" s="35">
        <f t="shared" si="1"/>
        <v>225.77</v>
      </c>
    </row>
    <row r="84" ht="16.5" spans="1:11">
      <c r="A84" s="28"/>
      <c r="B84" s="29"/>
      <c r="C84" s="29"/>
      <c r="D84" s="73"/>
      <c r="E84" s="29"/>
      <c r="F84" s="89"/>
      <c r="G84" s="35" t="s">
        <v>82</v>
      </c>
      <c r="H84" s="35">
        <v>2</v>
      </c>
      <c r="I84" s="34">
        <v>0</v>
      </c>
      <c r="J84" s="35">
        <f t="shared" si="1"/>
        <v>0</v>
      </c>
      <c r="K84" s="107"/>
    </row>
    <row r="85" ht="16.5" spans="1:11">
      <c r="A85" s="89">
        <v>45952</v>
      </c>
      <c r="B85" s="65" t="s">
        <v>39</v>
      </c>
      <c r="C85" s="65">
        <v>40381</v>
      </c>
      <c r="D85" s="66" t="s">
        <v>130</v>
      </c>
      <c r="E85" s="65" t="s">
        <v>131</v>
      </c>
      <c r="F85" s="89" t="s">
        <v>132</v>
      </c>
      <c r="G85" s="35" t="s">
        <v>116</v>
      </c>
      <c r="H85" s="35">
        <v>473</v>
      </c>
      <c r="I85" s="35">
        <v>0.15</v>
      </c>
      <c r="J85" s="35">
        <f t="shared" si="1"/>
        <v>70.95</v>
      </c>
    </row>
    <row r="86" ht="16.5" spans="1:11">
      <c r="A86" s="89"/>
      <c r="B86" s="65"/>
      <c r="C86" s="65"/>
      <c r="D86" s="66"/>
      <c r="E86" s="65"/>
      <c r="F86" s="89"/>
      <c r="G86" s="35" t="s">
        <v>133</v>
      </c>
      <c r="H86" s="35">
        <v>473</v>
      </c>
      <c r="I86" s="35">
        <v>0.042</v>
      </c>
      <c r="J86" s="35">
        <f t="shared" si="1"/>
        <v>19.866</v>
      </c>
    </row>
    <row r="87" ht="16.5" spans="1:11">
      <c r="A87" s="89"/>
      <c r="B87" s="65"/>
      <c r="C87" s="65"/>
      <c r="D87" s="66"/>
      <c r="E87" s="65"/>
      <c r="F87" s="89" t="s">
        <v>134</v>
      </c>
      <c r="G87" s="35" t="s">
        <v>79</v>
      </c>
      <c r="H87" s="35">
        <v>473</v>
      </c>
      <c r="I87" s="35">
        <v>0.24</v>
      </c>
      <c r="J87" s="35">
        <f t="shared" si="1"/>
        <v>113.52</v>
      </c>
    </row>
    <row r="88" ht="16.5" spans="1:11">
      <c r="A88" s="89"/>
      <c r="B88" s="65"/>
      <c r="C88" s="65"/>
      <c r="D88" s="66"/>
      <c r="E88" s="65"/>
      <c r="F88" s="89"/>
      <c r="G88" s="35" t="s">
        <v>118</v>
      </c>
      <c r="H88" s="35">
        <v>473</v>
      </c>
      <c r="I88" s="35">
        <v>0.22</v>
      </c>
      <c r="J88" s="35">
        <f t="shared" si="1"/>
        <v>104.06</v>
      </c>
    </row>
    <row r="89" ht="16.5" spans="1:11">
      <c r="A89" s="28">
        <v>45952</v>
      </c>
      <c r="B89" s="29" t="s">
        <v>39</v>
      </c>
      <c r="C89" s="65" t="s">
        <v>135</v>
      </c>
      <c r="D89" s="73" t="s">
        <v>136</v>
      </c>
      <c r="E89" s="29" t="s">
        <v>137</v>
      </c>
      <c r="F89" s="89" t="s">
        <v>138</v>
      </c>
      <c r="G89" s="35" t="s">
        <v>139</v>
      </c>
      <c r="H89" s="35">
        <f>21000*1.03</f>
        <v>21630</v>
      </c>
      <c r="I89" s="35">
        <v>0.85</v>
      </c>
      <c r="J89" s="35">
        <f t="shared" si="1"/>
        <v>18385.5</v>
      </c>
    </row>
    <row r="90" ht="16.5" spans="1:11">
      <c r="A90" s="28"/>
      <c r="B90" s="29"/>
      <c r="C90" s="29"/>
      <c r="D90" s="73"/>
      <c r="E90" s="29"/>
      <c r="F90" s="89"/>
      <c r="G90" s="35" t="s">
        <v>114</v>
      </c>
      <c r="H90" s="35">
        <f>21000*0.01</f>
        <v>210</v>
      </c>
      <c r="I90" s="35">
        <v>0</v>
      </c>
      <c r="J90" s="35">
        <f t="shared" si="1"/>
        <v>0</v>
      </c>
    </row>
    <row r="91" ht="16.5" spans="1:11">
      <c r="A91" s="28"/>
      <c r="B91" s="29"/>
      <c r="C91" s="29"/>
      <c r="D91" s="73"/>
      <c r="E91" s="29"/>
      <c r="F91" s="89"/>
      <c r="G91" s="35" t="s">
        <v>116</v>
      </c>
      <c r="H91" s="35">
        <v>20374</v>
      </c>
      <c r="I91" s="35">
        <v>0.15</v>
      </c>
      <c r="J91" s="35">
        <f t="shared" si="1"/>
        <v>3056.1</v>
      </c>
    </row>
    <row r="92" ht="16.5" spans="1:11">
      <c r="A92" s="28"/>
      <c r="B92" s="29"/>
      <c r="C92" s="29"/>
      <c r="D92" s="73"/>
      <c r="E92" s="29"/>
      <c r="F92" s="89" t="s">
        <v>134</v>
      </c>
      <c r="G92" s="34" t="s">
        <v>107</v>
      </c>
      <c r="H92" s="35">
        <f>21000</f>
        <v>21000</v>
      </c>
      <c r="I92" s="34">
        <f>0.042*4</f>
        <v>0.168</v>
      </c>
      <c r="J92" s="35">
        <f t="shared" si="1"/>
        <v>3528</v>
      </c>
    </row>
    <row r="93" ht="16.5" spans="1:11">
      <c r="A93" s="28"/>
      <c r="B93" s="29"/>
      <c r="C93" s="29"/>
      <c r="D93" s="73"/>
      <c r="E93" s="29"/>
      <c r="F93" s="89" t="s">
        <v>140</v>
      </c>
      <c r="G93" s="35" t="s">
        <v>116</v>
      </c>
      <c r="H93" s="35">
        <v>3046</v>
      </c>
      <c r="I93" s="35">
        <v>0.15</v>
      </c>
      <c r="J93" s="35">
        <f t="shared" si="1"/>
        <v>456.9</v>
      </c>
    </row>
    <row r="94" ht="16.5" spans="1:11">
      <c r="A94" s="28"/>
      <c r="B94" s="29"/>
      <c r="C94" s="29"/>
      <c r="D94" s="73"/>
      <c r="E94" s="29"/>
      <c r="F94" s="89"/>
      <c r="G94" s="35" t="s">
        <v>113</v>
      </c>
      <c r="H94" s="35">
        <v>4445</v>
      </c>
      <c r="I94" s="35">
        <v>0.85</v>
      </c>
      <c r="J94" s="35">
        <f t="shared" si="1"/>
        <v>3778.25</v>
      </c>
    </row>
    <row r="95" ht="16.5" spans="1:11">
      <c r="A95" s="28"/>
      <c r="B95" s="29"/>
      <c r="C95" s="29"/>
      <c r="D95" s="73"/>
      <c r="E95" s="29"/>
      <c r="F95" s="89"/>
      <c r="G95" s="35" t="s">
        <v>114</v>
      </c>
      <c r="H95" s="35">
        <v>45</v>
      </c>
      <c r="I95" s="35">
        <v>0</v>
      </c>
      <c r="J95" s="35">
        <f t="shared" si="1"/>
        <v>0</v>
      </c>
    </row>
    <row r="96" ht="16.5" spans="1:11">
      <c r="A96" s="28"/>
      <c r="B96" s="29"/>
      <c r="C96" s="29"/>
      <c r="D96" s="73"/>
      <c r="E96" s="29"/>
      <c r="F96" s="89"/>
      <c r="G96" s="34" t="s">
        <v>107</v>
      </c>
      <c r="H96" s="35">
        <f>2464</f>
        <v>2464</v>
      </c>
      <c r="I96" s="34">
        <f>0.042*4</f>
        <v>0.168</v>
      </c>
      <c r="J96" s="35">
        <f t="shared" si="1"/>
        <v>413.952</v>
      </c>
    </row>
    <row r="97" ht="16.5" spans="1:13">
      <c r="A97" s="28"/>
      <c r="B97" s="29"/>
      <c r="C97" s="29"/>
      <c r="D97" s="73"/>
      <c r="E97" s="29"/>
      <c r="F97" s="62" t="s">
        <v>141</v>
      </c>
      <c r="G97" s="35" t="s">
        <v>79</v>
      </c>
      <c r="H97" s="35">
        <v>23477</v>
      </c>
      <c r="I97" s="35">
        <v>0.24</v>
      </c>
      <c r="J97" s="35">
        <f t="shared" si="1"/>
        <v>5634.48</v>
      </c>
    </row>
    <row r="98" ht="16.5" spans="1:13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35">
        <f t="shared" si="1"/>
        <v>2582.47</v>
      </c>
    </row>
    <row r="99" ht="16.5" spans="1:13">
      <c r="A99" s="28"/>
      <c r="B99" s="29"/>
      <c r="C99" s="29"/>
      <c r="D99" s="73"/>
      <c r="E99" s="29"/>
      <c r="F99" s="62"/>
      <c r="G99" s="35" t="s">
        <v>118</v>
      </c>
      <c r="H99" s="35">
        <v>23477</v>
      </c>
      <c r="I99" s="35">
        <v>0.22</v>
      </c>
      <c r="J99" s="35">
        <f t="shared" si="1"/>
        <v>5164.94</v>
      </c>
    </row>
    <row r="100" ht="16.5" spans="1:13">
      <c r="A100" s="28"/>
      <c r="B100" s="29"/>
      <c r="C100" s="29"/>
      <c r="D100" s="73"/>
      <c r="E100" s="29"/>
      <c r="F100" s="62"/>
      <c r="G100" s="35" t="s">
        <v>142</v>
      </c>
      <c r="H100" s="35">
        <f>180+160+120+175+100+145</f>
        <v>880</v>
      </c>
      <c r="I100" s="35">
        <v>0.24</v>
      </c>
      <c r="J100" s="35">
        <f t="shared" si="1"/>
        <v>211.2</v>
      </c>
    </row>
    <row r="101" ht="16.5" spans="1:13">
      <c r="J101" s="108">
        <f>SUM(J3:J100)</f>
        <v>220872.112</v>
      </c>
    </row>
    <row r="106" ht="28.5" spans="1:13">
      <c r="A106" s="49" t="s">
        <v>143</v>
      </c>
      <c r="B106" s="49"/>
      <c r="C106" s="49"/>
      <c r="D106" s="49"/>
      <c r="E106" s="49"/>
      <c r="F106" s="49"/>
      <c r="G106" s="49"/>
      <c r="H106" s="49"/>
      <c r="I106" s="49"/>
      <c r="J106" s="136"/>
    </row>
    <row r="107" ht="14.5" spans="1:13">
      <c r="A107" s="50" t="s">
        <v>144</v>
      </c>
      <c r="B107" s="50" t="s">
        <v>145</v>
      </c>
      <c r="C107" s="50" t="s">
        <v>146</v>
      </c>
      <c r="D107" s="50" t="s">
        <v>147</v>
      </c>
      <c r="E107" s="50" t="s">
        <v>148</v>
      </c>
      <c r="F107" s="51" t="s">
        <v>149</v>
      </c>
      <c r="G107" s="50" t="s">
        <v>150</v>
      </c>
      <c r="H107" s="50" t="s">
        <v>151</v>
      </c>
      <c r="I107" s="50" t="s">
        <v>152</v>
      </c>
      <c r="J107" s="137" t="s">
        <v>153</v>
      </c>
    </row>
    <row r="108" ht="28.5" spans="1:13">
      <c r="A108" s="50"/>
      <c r="B108" s="50"/>
      <c r="C108" s="50"/>
      <c r="D108" s="50" t="s">
        <v>154</v>
      </c>
      <c r="E108" s="50"/>
      <c r="F108" s="51" t="s">
        <v>155</v>
      </c>
      <c r="G108" s="50"/>
      <c r="H108" s="50"/>
      <c r="I108" s="52" t="s">
        <v>156</v>
      </c>
      <c r="J108" s="137"/>
      <c r="K108" t="s">
        <v>157</v>
      </c>
      <c r="L108" t="s">
        <v>158</v>
      </c>
      <c r="M108" t="s">
        <v>159</v>
      </c>
    </row>
    <row r="109" ht="14.5" spans="1:13">
      <c r="A109" s="138">
        <v>1</v>
      </c>
      <c r="B109" s="139">
        <v>45981</v>
      </c>
      <c r="C109" s="112" t="s">
        <v>160</v>
      </c>
      <c r="D109" s="112" t="s">
        <v>161</v>
      </c>
      <c r="E109" s="112" t="s">
        <v>162</v>
      </c>
      <c r="F109" s="112" t="s">
        <v>162</v>
      </c>
      <c r="G109" s="112" t="s">
        <v>162</v>
      </c>
      <c r="H109" s="112"/>
      <c r="I109" s="140">
        <v>17642.04</v>
      </c>
      <c r="J109" s="141"/>
      <c r="K109">
        <v>111444.88</v>
      </c>
      <c r="L109">
        <v>104434.48</v>
      </c>
      <c r="M109">
        <f>K109-L109</f>
        <v>7010.40000000001</v>
      </c>
    </row>
    <row r="110" ht="14.5" spans="1:13">
      <c r="A110" s="138">
        <v>1</v>
      </c>
      <c r="B110" s="139">
        <v>45981</v>
      </c>
      <c r="C110" s="112" t="s">
        <v>160</v>
      </c>
      <c r="D110" s="112" t="s">
        <v>161</v>
      </c>
      <c r="E110" s="112" t="s">
        <v>162</v>
      </c>
      <c r="F110" s="112" t="s">
        <v>162</v>
      </c>
      <c r="G110" s="112" t="s">
        <v>162</v>
      </c>
      <c r="H110" s="112"/>
      <c r="I110" s="140">
        <v>25313.38</v>
      </c>
      <c r="J110" s="141"/>
    </row>
    <row r="111" ht="14.5" spans="1:13">
      <c r="A111" s="138">
        <v>1</v>
      </c>
      <c r="B111" s="139">
        <v>45981</v>
      </c>
      <c r="C111" s="112" t="s">
        <v>160</v>
      </c>
      <c r="D111" s="112" t="s">
        <v>161</v>
      </c>
      <c r="E111" s="112" t="s">
        <v>162</v>
      </c>
      <c r="F111" s="112" t="s">
        <v>162</v>
      </c>
      <c r="G111" s="112" t="s">
        <v>162</v>
      </c>
      <c r="H111" s="112"/>
      <c r="I111" s="140">
        <v>4122.48</v>
      </c>
      <c r="J111" s="141"/>
    </row>
    <row r="112" ht="14.5" spans="1:13">
      <c r="A112" s="138">
        <v>1</v>
      </c>
      <c r="B112" s="139">
        <v>45981</v>
      </c>
      <c r="C112" s="112" t="s">
        <v>160</v>
      </c>
      <c r="D112" s="112" t="s">
        <v>161</v>
      </c>
      <c r="E112" s="112" t="s">
        <v>162</v>
      </c>
      <c r="F112" s="112" t="s">
        <v>162</v>
      </c>
      <c r="G112" s="112" t="s">
        <v>162</v>
      </c>
      <c r="H112" s="112"/>
      <c r="I112" s="140">
        <v>24961.52</v>
      </c>
      <c r="J112" s="141"/>
    </row>
    <row r="113" ht="14.5" spans="1:10">
      <c r="A113" s="138">
        <v>1</v>
      </c>
      <c r="B113" s="139">
        <v>45981</v>
      </c>
      <c r="C113" s="112" t="s">
        <v>160</v>
      </c>
      <c r="D113" s="112" t="s">
        <v>161</v>
      </c>
      <c r="E113" s="112" t="s">
        <v>162</v>
      </c>
      <c r="F113" s="112" t="s">
        <v>162</v>
      </c>
      <c r="G113" s="112" t="s">
        <v>162</v>
      </c>
      <c r="H113" s="112"/>
      <c r="I113" s="140">
        <v>6659.1</v>
      </c>
      <c r="J113" s="141"/>
    </row>
    <row r="114" ht="14.5" spans="1:10">
      <c r="A114" s="138">
        <v>1</v>
      </c>
      <c r="B114" s="139">
        <v>45981</v>
      </c>
      <c r="C114" s="112" t="s">
        <v>160</v>
      </c>
      <c r="D114" s="112" t="s">
        <v>161</v>
      </c>
      <c r="E114" s="112" t="s">
        <v>162</v>
      </c>
      <c r="F114" s="112" t="s">
        <v>162</v>
      </c>
      <c r="G114" s="112" t="s">
        <v>162</v>
      </c>
      <c r="H114" s="112"/>
      <c r="I114" s="140">
        <v>22330.6</v>
      </c>
      <c r="J114" s="141"/>
    </row>
    <row r="115" ht="14.5" spans="1:10">
      <c r="A115" s="138">
        <v>1</v>
      </c>
      <c r="B115" s="139">
        <v>45981</v>
      </c>
      <c r="C115" s="112" t="s">
        <v>160</v>
      </c>
      <c r="D115" s="112" t="s">
        <v>161</v>
      </c>
      <c r="E115" s="112" t="s">
        <v>162</v>
      </c>
      <c r="F115" s="112" t="s">
        <v>162</v>
      </c>
      <c r="G115" s="112" t="s">
        <v>162</v>
      </c>
      <c r="H115" s="112"/>
      <c r="I115" s="140">
        <v>1883.16</v>
      </c>
      <c r="J115" s="141"/>
    </row>
    <row r="116" ht="14.5" spans="1:10">
      <c r="A116" s="138">
        <v>1</v>
      </c>
      <c r="B116" s="139">
        <v>45981</v>
      </c>
      <c r="C116" s="112" t="s">
        <v>160</v>
      </c>
      <c r="D116" s="112" t="s">
        <v>161</v>
      </c>
      <c r="E116" s="112" t="s">
        <v>162</v>
      </c>
      <c r="F116" s="112" t="s">
        <v>162</v>
      </c>
      <c r="G116" s="112" t="s">
        <v>162</v>
      </c>
      <c r="H116" s="112"/>
      <c r="I116" s="140">
        <v>8532.6</v>
      </c>
      <c r="J116" s="141"/>
    </row>
    <row r="117" spans="1:10">
      <c r="I117">
        <f>SUM(I109:I116)</f>
        <v>111444.88</v>
      </c>
    </row>
  </sheetData>
  <autoFilter xmlns:etc="http://www.wps.cn/officeDocument/2017/etCustomData" ref="A1:J101" etc:filterBottomFollowUsedRange="0">
    <extLst/>
  </autoFilter>
  <mergeCells count="127">
    <mergeCell ref="A1:J1"/>
    <mergeCell ref="A106:J106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A107:A108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B107:B108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C107:C108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E107:E108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G107:G108"/>
    <mergeCell ref="H107:H108"/>
    <mergeCell ref="J107:J10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abSelected="1" topLeftCell="A108" workbookViewId="0">
      <selection activeCell="F135" sqref="F13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>H4*I4</f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ref="J5:J36" si="0">H5*I5</f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04">
        <f t="shared" si="0"/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 t="shared" si="0"/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 t="shared" si="0"/>
        <v>772.2</v>
      </c>
      <c r="K19" s="25">
        <v>3834</v>
      </c>
      <c r="L19" s="105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 t="shared" si="0"/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 t="shared" si="0"/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 t="shared" si="0"/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 t="shared" si="0"/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 t="shared" si="0"/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 t="shared" si="0"/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 t="shared" si="0"/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 t="shared" si="0"/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06">
        <f t="shared" si="0"/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06">
        <f t="shared" si="0"/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06">
        <f t="shared" si="0"/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06">
        <f t="shared" si="0"/>
        <v>4203.36</v>
      </c>
      <c r="K31">
        <f>27572.24+4203.36+8757</f>
        <v>40532.6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06">
        <f t="shared" si="0"/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06">
        <f t="shared" si="0"/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 t="shared" si="0"/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 t="shared" si="0"/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 t="shared" si="0"/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 t="shared" ref="J37:J72" si="1">H37*I37</f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 t="shared" si="1"/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 t="shared" si="1"/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 t="shared" si="1"/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 t="shared" si="1"/>
        <v>0</v>
      </c>
      <c r="K41" s="107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 t="shared" si="1"/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 t="shared" si="1"/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 t="shared" si="1"/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 t="shared" si="1"/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 t="shared" si="1"/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 t="shared" si="1"/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 t="shared" si="1"/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 t="shared" si="1"/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 t="shared" si="1"/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 t="shared" si="1"/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 t="shared" si="1"/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 t="shared" si="1"/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 t="shared" si="1"/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 t="shared" si="1"/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 t="shared" si="1"/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 t="shared" si="1"/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35">
        <f t="shared" si="1"/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35">
        <f t="shared" si="1"/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35">
        <f t="shared" si="1"/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35">
        <f t="shared" si="1"/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35">
        <f t="shared" si="1"/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35">
        <f t="shared" si="1"/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35">
        <f t="shared" si="1"/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35">
        <f t="shared" si="1"/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35">
        <f t="shared" si="1"/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35">
        <f t="shared" si="1"/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35">
        <f t="shared" si="1"/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35">
        <f t="shared" si="1"/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35">
        <f t="shared" si="1"/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35">
        <f t="shared" si="1"/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35">
        <f t="shared" si="1"/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35">
        <f t="shared" ref="J73:J115" si="2">H73*I73</f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35">
        <f t="shared" si="2"/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35">
        <f t="shared" si="2"/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35">
        <f t="shared" si="2"/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35">
        <f t="shared" si="2"/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35">
        <f t="shared" si="2"/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35">
        <f t="shared" si="2"/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35">
        <f t="shared" si="2"/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35">
        <f t="shared" si="2"/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 t="shared" si="2"/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 t="shared" si="2"/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 t="shared" si="2"/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 t="shared" si="2"/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 t="shared" si="2"/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 t="shared" si="2"/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 t="shared" si="2"/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 t="shared" si="2"/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 t="shared" si="2"/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 t="shared" si="2"/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 t="shared" si="2"/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 t="shared" si="2"/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 t="shared" si="2"/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 t="shared" si="2"/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35">
        <f t="shared" si="2"/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35">
        <f t="shared" si="2"/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35">
        <f t="shared" si="2"/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35">
        <f t="shared" si="2"/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35">
        <f t="shared" si="2"/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35">
        <f t="shared" si="2"/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35">
        <f t="shared" si="2"/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35">
        <f t="shared" si="2"/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35">
        <f t="shared" si="2"/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35">
        <f t="shared" si="2"/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35">
        <f t="shared" si="2"/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35">
        <f t="shared" si="2"/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35">
        <f t="shared" si="2"/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 t="shared" si="2"/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 t="shared" si="2"/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 t="shared" si="2"/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 t="shared" si="2"/>
        <v>2940</v>
      </c>
    </row>
    <row r="113" ht="16.5" spans="1:12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 t="shared" si="2"/>
        <v>270</v>
      </c>
    </row>
    <row r="114" ht="16.5" spans="1:12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 t="shared" si="2"/>
        <v>2400</v>
      </c>
    </row>
    <row r="115" ht="16.5" spans="1:12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 t="shared" si="2"/>
        <v>1100</v>
      </c>
    </row>
    <row r="116" ht="16.5" spans="1:12">
      <c r="J116" s="108">
        <f>SUM(J3:J115)</f>
        <v>179508.032</v>
      </c>
    </row>
    <row r="123" ht="28.5" spans="1:12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2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2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  <c r="K125" t="s">
        <v>214</v>
      </c>
      <c r="L125" t="s">
        <v>159</v>
      </c>
    </row>
    <row r="126" spans="1:12">
      <c r="A126" s="109">
        <v>1</v>
      </c>
      <c r="B126" s="110">
        <v>46028</v>
      </c>
      <c r="C126" s="111" t="s">
        <v>160</v>
      </c>
      <c r="D126" s="111" t="s">
        <v>161</v>
      </c>
      <c r="E126" s="112" t="s">
        <v>215</v>
      </c>
      <c r="F126" s="112"/>
      <c r="G126" s="112" t="s">
        <v>216</v>
      </c>
      <c r="H126" s="112">
        <v>30.9</v>
      </c>
      <c r="I126" s="113">
        <v>40532.6</v>
      </c>
      <c r="J126" s="112"/>
      <c r="K126">
        <v>40535.33</v>
      </c>
      <c r="L126">
        <f>K126-I126</f>
        <v>2.7300000000032</v>
      </c>
    </row>
    <row r="127" spans="1:12">
      <c r="A127" s="114"/>
      <c r="B127" s="115"/>
      <c r="C127" s="116"/>
      <c r="D127" s="116"/>
      <c r="E127" s="112" t="s">
        <v>217</v>
      </c>
      <c r="F127" s="112"/>
      <c r="G127" s="112" t="s">
        <v>216</v>
      </c>
      <c r="H127" s="112">
        <v>18.9</v>
      </c>
      <c r="I127" s="117"/>
      <c r="J127" s="118"/>
    </row>
    <row r="128" spans="1:12">
      <c r="A128" s="119"/>
      <c r="B128" s="120"/>
      <c r="C128" s="121"/>
      <c r="D128" s="121"/>
      <c r="E128" s="112" t="s">
        <v>218</v>
      </c>
      <c r="F128" s="112"/>
      <c r="G128" s="112" t="s">
        <v>216</v>
      </c>
      <c r="H128" s="112">
        <v>65.3</v>
      </c>
      <c r="I128" s="122"/>
      <c r="J128" s="118"/>
    </row>
    <row r="129" ht="14.5" spans="1:10">
      <c r="A129" s="123">
        <v>1</v>
      </c>
      <c r="B129" s="124">
        <v>46028</v>
      </c>
      <c r="C129" s="125" t="s">
        <v>160</v>
      </c>
      <c r="D129" s="125" t="s">
        <v>219</v>
      </c>
      <c r="E129" s="112" t="s">
        <v>220</v>
      </c>
      <c r="F129" s="112"/>
      <c r="G129" s="112" t="s">
        <v>221</v>
      </c>
      <c r="H129" s="112">
        <v>3834</v>
      </c>
      <c r="I129" s="126">
        <v>1601.1</v>
      </c>
      <c r="J129" s="127"/>
    </row>
    <row r="130" ht="14.5" spans="1:10">
      <c r="A130" s="128"/>
      <c r="B130" s="129"/>
      <c r="C130" s="130"/>
      <c r="D130" s="130"/>
      <c r="E130" s="112" t="s">
        <v>217</v>
      </c>
      <c r="F130" s="112"/>
      <c r="G130" s="112" t="s">
        <v>222</v>
      </c>
      <c r="H130" s="112">
        <v>7020</v>
      </c>
      <c r="I130" s="131"/>
      <c r="J130" s="132"/>
    </row>
  </sheetData>
  <autoFilter xmlns:etc="http://www.wps.cn/officeDocument/2017/etCustomData" ref="A1:J116" etc:filterBottomFollowUsedRange="0">
    <extLst/>
  </autoFilter>
  <mergeCells count="143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28"/>
    <mergeCell ref="A129:A130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28"/>
    <mergeCell ref="B129:B130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28"/>
    <mergeCell ref="C129:C130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28"/>
    <mergeCell ref="D129:D130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28"/>
    <mergeCell ref="I129:I130"/>
    <mergeCell ref="J124:J1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1" workbookViewId="0">
      <selection activeCell="E42" sqref="E4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1" max="11" width="12.8181818181818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223</v>
      </c>
    </row>
    <row r="3" ht="33" hidden="1" spans="1:10">
      <c r="A3" s="79">
        <v>45761</v>
      </c>
      <c r="B3" s="69" t="s">
        <v>39</v>
      </c>
      <c r="C3" s="69">
        <v>76382</v>
      </c>
      <c r="D3" s="80" t="s">
        <v>224</v>
      </c>
      <c r="E3" s="69" t="s">
        <v>225</v>
      </c>
      <c r="F3" s="81" t="s">
        <v>226</v>
      </c>
      <c r="G3" s="82" t="s">
        <v>227</v>
      </c>
      <c r="H3" s="82">
        <v>201</v>
      </c>
      <c r="I3" s="82">
        <v>0.007</v>
      </c>
      <c r="J3" s="82">
        <f t="shared" ref="J3:J27" si="0">H3*I3</f>
        <v>1.407</v>
      </c>
    </row>
    <row r="4" ht="16.5" spans="1:10">
      <c r="A4" s="28">
        <v>45755</v>
      </c>
      <c r="B4" s="28" t="s">
        <v>39</v>
      </c>
      <c r="C4" s="28" t="s">
        <v>228</v>
      </c>
      <c r="D4" s="83" t="s">
        <v>229</v>
      </c>
      <c r="E4" s="28" t="s">
        <v>230</v>
      </c>
      <c r="F4" s="28" t="s">
        <v>231</v>
      </c>
      <c r="G4" s="34" t="s">
        <v>232</v>
      </c>
      <c r="H4" s="34">
        <f>5926</f>
        <v>5926</v>
      </c>
      <c r="I4" s="34">
        <f>0.007*2</f>
        <v>0.014</v>
      </c>
      <c r="J4" s="84">
        <f t="shared" si="0"/>
        <v>82.964</v>
      </c>
    </row>
    <row r="5" ht="16.5" spans="1:10">
      <c r="A5" s="28"/>
      <c r="B5" s="28"/>
      <c r="C5" s="28"/>
      <c r="D5" s="83"/>
      <c r="E5" s="28"/>
      <c r="F5" s="28" t="s">
        <v>233</v>
      </c>
      <c r="G5" s="34" t="s">
        <v>234</v>
      </c>
      <c r="H5" s="34">
        <f>58</f>
        <v>58</v>
      </c>
      <c r="I5" s="34">
        <v>0</v>
      </c>
      <c r="J5" s="85">
        <f t="shared" si="0"/>
        <v>0</v>
      </c>
    </row>
    <row r="6" ht="16.5" spans="1:10">
      <c r="A6" s="28">
        <v>45825</v>
      </c>
      <c r="B6" s="28" t="s">
        <v>39</v>
      </c>
      <c r="C6" s="86" t="s">
        <v>235</v>
      </c>
      <c r="D6" s="83" t="s">
        <v>236</v>
      </c>
      <c r="E6" s="28" t="s">
        <v>237</v>
      </c>
      <c r="F6" s="87" t="s">
        <v>238</v>
      </c>
      <c r="G6" s="34" t="s">
        <v>21</v>
      </c>
      <c r="H6" s="34">
        <v>1200</v>
      </c>
      <c r="I6" s="34">
        <v>0.039</v>
      </c>
      <c r="J6" s="85">
        <f t="shared" si="0"/>
        <v>46.8</v>
      </c>
    </row>
    <row r="7" ht="16.5" spans="1:10">
      <c r="A7" s="28"/>
      <c r="B7" s="28"/>
      <c r="C7" s="86"/>
      <c r="D7" s="83"/>
      <c r="E7" s="28"/>
      <c r="F7" s="88"/>
      <c r="G7" s="34" t="s">
        <v>239</v>
      </c>
      <c r="H7" s="34">
        <f>H6*0.01</f>
        <v>12</v>
      </c>
      <c r="I7" s="34">
        <v>0</v>
      </c>
      <c r="J7" s="85">
        <f t="shared" si="0"/>
        <v>0</v>
      </c>
    </row>
    <row r="8" ht="16.5" spans="1:10">
      <c r="A8" s="89">
        <v>45832</v>
      </c>
      <c r="B8" s="89" t="s">
        <v>39</v>
      </c>
      <c r="C8" s="90">
        <v>78832</v>
      </c>
      <c r="D8" s="91" t="s">
        <v>240</v>
      </c>
      <c r="E8" s="89" t="s">
        <v>241</v>
      </c>
      <c r="F8" s="92" t="s">
        <v>242</v>
      </c>
      <c r="G8" s="35" t="s">
        <v>21</v>
      </c>
      <c r="H8" s="35">
        <v>3500</v>
      </c>
      <c r="I8" s="35">
        <v>0.039</v>
      </c>
      <c r="J8" s="85">
        <f t="shared" si="0"/>
        <v>136.5</v>
      </c>
    </row>
    <row r="9" ht="16.5" spans="1:10">
      <c r="A9" s="89"/>
      <c r="B9" s="89"/>
      <c r="C9" s="93"/>
      <c r="D9" s="91"/>
      <c r="E9" s="89"/>
      <c r="F9" s="94"/>
      <c r="G9" s="35" t="s">
        <v>239</v>
      </c>
      <c r="H9" s="35">
        <f>H8*0.01</f>
        <v>35</v>
      </c>
      <c r="I9" s="35">
        <v>0</v>
      </c>
      <c r="J9" s="85">
        <f t="shared" si="0"/>
        <v>0</v>
      </c>
    </row>
    <row r="10" ht="16.5" spans="1:10">
      <c r="A10" s="28">
        <v>45848</v>
      </c>
      <c r="B10" s="29" t="s">
        <v>39</v>
      </c>
      <c r="C10" s="29" t="s">
        <v>243</v>
      </c>
      <c r="D10" s="73" t="s">
        <v>244</v>
      </c>
      <c r="E10" s="29" t="s">
        <v>245</v>
      </c>
      <c r="F10" s="28" t="s">
        <v>61</v>
      </c>
      <c r="G10" s="35" t="s">
        <v>79</v>
      </c>
      <c r="H10" s="35">
        <v>2000</v>
      </c>
      <c r="I10" s="35">
        <v>0.039</v>
      </c>
      <c r="J10" s="85">
        <f t="shared" si="0"/>
        <v>78</v>
      </c>
    </row>
    <row r="11" ht="16.5" spans="1:10">
      <c r="A11" s="28"/>
      <c r="B11" s="29"/>
      <c r="C11" s="29"/>
      <c r="D11" s="73"/>
      <c r="E11" s="29"/>
      <c r="F11" s="28"/>
      <c r="G11" s="35" t="s">
        <v>239</v>
      </c>
      <c r="H11" s="35">
        <f>H10*0.01</f>
        <v>20</v>
      </c>
      <c r="I11" s="34">
        <v>0</v>
      </c>
      <c r="J11" s="85">
        <f t="shared" si="0"/>
        <v>0</v>
      </c>
    </row>
    <row r="12" ht="16.5" spans="1:10">
      <c r="A12" s="28"/>
      <c r="B12" s="29"/>
      <c r="C12" s="29"/>
      <c r="D12" s="73"/>
      <c r="E12" s="29"/>
      <c r="F12" s="28" t="s">
        <v>246</v>
      </c>
      <c r="G12" s="34" t="s">
        <v>64</v>
      </c>
      <c r="H12" s="34">
        <f>3200</f>
        <v>3200</v>
      </c>
      <c r="I12" s="34">
        <f>0.007*5</f>
        <v>0.035</v>
      </c>
      <c r="J12" s="85">
        <f t="shared" si="0"/>
        <v>112</v>
      </c>
    </row>
    <row r="13" ht="16.5" spans="1:10">
      <c r="A13" s="89">
        <v>45848</v>
      </c>
      <c r="B13" s="89" t="s">
        <v>39</v>
      </c>
      <c r="C13" s="90">
        <v>79777</v>
      </c>
      <c r="D13" s="91" t="s">
        <v>247</v>
      </c>
      <c r="E13" s="89" t="s">
        <v>248</v>
      </c>
      <c r="F13" s="89" t="s">
        <v>249</v>
      </c>
      <c r="G13" s="35" t="s">
        <v>21</v>
      </c>
      <c r="H13" s="35">
        <v>3000</v>
      </c>
      <c r="I13" s="35">
        <v>0.039</v>
      </c>
      <c r="J13" s="85">
        <f t="shared" si="0"/>
        <v>117</v>
      </c>
    </row>
    <row r="14" ht="16.5" spans="1:10">
      <c r="A14" s="89"/>
      <c r="B14" s="89"/>
      <c r="C14" s="93"/>
      <c r="D14" s="91"/>
      <c r="E14" s="89"/>
      <c r="F14" s="89"/>
      <c r="G14" s="35" t="s">
        <v>239</v>
      </c>
      <c r="H14" s="35">
        <f>3000*0.01</f>
        <v>30</v>
      </c>
      <c r="I14" s="35">
        <v>0</v>
      </c>
      <c r="J14" s="85">
        <f t="shared" si="0"/>
        <v>0</v>
      </c>
    </row>
    <row r="15" ht="16.5" spans="1:10">
      <c r="A15" s="28">
        <v>45866</v>
      </c>
      <c r="B15" s="29" t="s">
        <v>39</v>
      </c>
      <c r="C15" s="29">
        <v>84011</v>
      </c>
      <c r="D15" s="73" t="s">
        <v>250</v>
      </c>
      <c r="E15" s="29" t="s">
        <v>251</v>
      </c>
      <c r="F15" s="28" t="s">
        <v>78</v>
      </c>
      <c r="G15" s="95" t="s">
        <v>252</v>
      </c>
      <c r="H15" s="95">
        <v>750</v>
      </c>
      <c r="I15" s="85">
        <v>0.034</v>
      </c>
      <c r="J15" s="85">
        <f t="shared" si="0"/>
        <v>25.5</v>
      </c>
    </row>
    <row r="16" ht="16.5" spans="1:10">
      <c r="A16" s="28"/>
      <c r="B16" s="29"/>
      <c r="C16" s="29"/>
      <c r="D16" s="73"/>
      <c r="E16" s="29"/>
      <c r="F16" s="28"/>
      <c r="G16" s="95" t="s">
        <v>253</v>
      </c>
      <c r="H16" s="85">
        <v>8</v>
      </c>
      <c r="I16" s="85">
        <v>0</v>
      </c>
      <c r="J16" s="85">
        <f t="shared" si="0"/>
        <v>0</v>
      </c>
    </row>
    <row r="17" ht="16.5" spans="1:10">
      <c r="A17" s="28"/>
      <c r="B17" s="29"/>
      <c r="C17" s="29"/>
      <c r="D17" s="73"/>
      <c r="E17" s="29"/>
      <c r="F17" s="28" t="s">
        <v>254</v>
      </c>
      <c r="G17" s="95" t="s">
        <v>255</v>
      </c>
      <c r="H17" s="95">
        <v>750</v>
      </c>
      <c r="I17" s="85">
        <v>0.026</v>
      </c>
      <c r="J17" s="85">
        <f t="shared" si="0"/>
        <v>19.5</v>
      </c>
    </row>
    <row r="18" ht="16.5" spans="1:10">
      <c r="A18" s="28"/>
      <c r="B18" s="29"/>
      <c r="C18" s="29"/>
      <c r="D18" s="73"/>
      <c r="E18" s="29"/>
      <c r="F18" s="28"/>
      <c r="G18" s="95" t="s">
        <v>256</v>
      </c>
      <c r="H18" s="85">
        <v>8</v>
      </c>
      <c r="I18" s="85">
        <v>0</v>
      </c>
      <c r="J18" s="85">
        <f t="shared" si="0"/>
        <v>0</v>
      </c>
    </row>
    <row r="19" ht="16.5" spans="1:10">
      <c r="A19" s="28">
        <v>45883</v>
      </c>
      <c r="B19" s="29" t="s">
        <v>39</v>
      </c>
      <c r="C19" s="29" t="s">
        <v>43</v>
      </c>
      <c r="D19" s="73" t="s">
        <v>257</v>
      </c>
      <c r="E19" s="29" t="s">
        <v>258</v>
      </c>
      <c r="F19" s="28" t="s">
        <v>259</v>
      </c>
      <c r="G19" s="35" t="s">
        <v>260</v>
      </c>
      <c r="H19" s="34">
        <v>15470</v>
      </c>
      <c r="I19" s="85">
        <v>0.06</v>
      </c>
      <c r="J19" s="85">
        <f t="shared" si="0"/>
        <v>928.2</v>
      </c>
    </row>
    <row r="20" ht="16.5" spans="1:10">
      <c r="A20" s="28"/>
      <c r="B20" s="29"/>
      <c r="C20" s="29"/>
      <c r="D20" s="73"/>
      <c r="E20" s="29"/>
      <c r="F20" s="28"/>
      <c r="G20" s="35" t="s">
        <v>261</v>
      </c>
      <c r="H20" s="34">
        <v>773</v>
      </c>
      <c r="I20" s="85">
        <v>0</v>
      </c>
      <c r="J20" s="85">
        <f t="shared" si="0"/>
        <v>0</v>
      </c>
    </row>
    <row r="21" ht="16.5" spans="1:10">
      <c r="A21" s="28">
        <v>45907</v>
      </c>
      <c r="B21" s="29" t="s">
        <v>39</v>
      </c>
      <c r="C21" s="29">
        <v>40061</v>
      </c>
      <c r="D21" s="73" t="s">
        <v>262</v>
      </c>
      <c r="E21" s="29" t="s">
        <v>263</v>
      </c>
      <c r="F21" s="28" t="s">
        <v>264</v>
      </c>
      <c r="G21" s="34" t="s">
        <v>265</v>
      </c>
      <c r="H21" s="34">
        <v>9500</v>
      </c>
      <c r="I21" s="85">
        <v>0.007</v>
      </c>
      <c r="J21" s="85">
        <f t="shared" si="0"/>
        <v>66.5</v>
      </c>
    </row>
    <row r="22" ht="16.5" spans="1:10">
      <c r="A22" s="28"/>
      <c r="B22" s="29"/>
      <c r="C22" s="29"/>
      <c r="D22" s="73"/>
      <c r="E22" s="29"/>
      <c r="F22" s="28"/>
      <c r="G22" s="34" t="s">
        <v>266</v>
      </c>
      <c r="H22" s="35">
        <f>H21*0.01</f>
        <v>95</v>
      </c>
      <c r="I22" s="85">
        <v>0</v>
      </c>
      <c r="J22" s="85">
        <f t="shared" si="0"/>
        <v>0</v>
      </c>
    </row>
    <row r="23" ht="16.5" spans="1:10">
      <c r="A23" s="28">
        <v>45910</v>
      </c>
      <c r="B23" s="29" t="s">
        <v>39</v>
      </c>
      <c r="C23" s="29">
        <v>85359</v>
      </c>
      <c r="D23" s="73" t="s">
        <v>267</v>
      </c>
      <c r="E23" s="29" t="s">
        <v>268</v>
      </c>
      <c r="F23" s="28" t="s">
        <v>269</v>
      </c>
      <c r="G23" s="34" t="s">
        <v>270</v>
      </c>
      <c r="H23" s="34">
        <f>1000</f>
        <v>1000</v>
      </c>
      <c r="I23" s="85">
        <f>0.007*2</f>
        <v>0.014</v>
      </c>
      <c r="J23" s="85">
        <f t="shared" si="0"/>
        <v>14</v>
      </c>
    </row>
    <row r="24" ht="16.5" spans="1:10">
      <c r="A24" s="28"/>
      <c r="B24" s="29"/>
      <c r="C24" s="29"/>
      <c r="D24" s="73"/>
      <c r="E24" s="29"/>
      <c r="F24" s="28"/>
      <c r="G24" s="29" t="s">
        <v>271</v>
      </c>
      <c r="H24" s="34">
        <f>H23*0.01</f>
        <v>10</v>
      </c>
      <c r="I24" s="85">
        <v>0</v>
      </c>
      <c r="J24" s="85">
        <f t="shared" si="0"/>
        <v>0</v>
      </c>
    </row>
    <row r="25" ht="16.5" spans="1:10">
      <c r="A25" s="28"/>
      <c r="B25" s="29"/>
      <c r="C25" s="29"/>
      <c r="D25" s="73"/>
      <c r="E25" s="29"/>
      <c r="F25" s="89" t="s">
        <v>272</v>
      </c>
      <c r="G25" s="35" t="s">
        <v>79</v>
      </c>
      <c r="H25" s="35">
        <v>1000</v>
      </c>
      <c r="I25" s="85">
        <v>0.039</v>
      </c>
      <c r="J25" s="85">
        <f t="shared" si="0"/>
        <v>39</v>
      </c>
    </row>
    <row r="26" ht="16.5" spans="1:10">
      <c r="A26" s="28"/>
      <c r="B26" s="29"/>
      <c r="C26" s="29"/>
      <c r="D26" s="73"/>
      <c r="E26" s="29"/>
      <c r="F26" s="89"/>
      <c r="G26" s="35" t="s">
        <v>239</v>
      </c>
      <c r="H26" s="35">
        <f>H25*0.01</f>
        <v>10</v>
      </c>
      <c r="I26" s="34">
        <v>0</v>
      </c>
      <c r="J26" s="85">
        <f t="shared" si="0"/>
        <v>0</v>
      </c>
    </row>
    <row r="27" ht="16.5" spans="1:10">
      <c r="A27" s="28">
        <v>45924</v>
      </c>
      <c r="B27" s="28" t="s">
        <v>39</v>
      </c>
      <c r="C27" s="86" t="s">
        <v>273</v>
      </c>
      <c r="D27" s="83" t="s">
        <v>274</v>
      </c>
      <c r="E27" s="28" t="s">
        <v>275</v>
      </c>
      <c r="F27" s="28">
        <v>45927</v>
      </c>
      <c r="G27" s="35" t="s">
        <v>79</v>
      </c>
      <c r="H27" s="34">
        <v>3715</v>
      </c>
      <c r="I27" s="95">
        <v>0.039</v>
      </c>
      <c r="J27" s="95">
        <f t="shared" si="0"/>
        <v>144.885</v>
      </c>
    </row>
    <row r="28" ht="16.5" spans="1:10">
      <c r="A28" s="28"/>
      <c r="B28" s="28"/>
      <c r="C28" s="86"/>
      <c r="D28" s="83"/>
      <c r="E28" s="28"/>
      <c r="F28" s="28">
        <v>45929</v>
      </c>
      <c r="G28" s="35" t="s">
        <v>276</v>
      </c>
      <c r="H28" s="34">
        <v>37</v>
      </c>
      <c r="I28" s="95">
        <v>0</v>
      </c>
      <c r="J28" s="95">
        <v>0</v>
      </c>
    </row>
    <row r="29" ht="16.5" spans="1:10">
      <c r="A29" s="28">
        <v>45931</v>
      </c>
      <c r="B29" s="28" t="s">
        <v>39</v>
      </c>
      <c r="C29" s="86" t="s">
        <v>273</v>
      </c>
      <c r="D29" s="83" t="s">
        <v>277</v>
      </c>
      <c r="E29" s="28" t="s">
        <v>278</v>
      </c>
      <c r="F29" s="28">
        <v>45937</v>
      </c>
      <c r="G29" s="35" t="s">
        <v>79</v>
      </c>
      <c r="H29" s="34">
        <v>387</v>
      </c>
      <c r="I29" s="95">
        <v>0.039</v>
      </c>
      <c r="J29" s="95">
        <f>H29*I29</f>
        <v>15.093</v>
      </c>
    </row>
    <row r="30" ht="16.5" spans="1:10">
      <c r="A30" s="28"/>
      <c r="B30" s="28"/>
      <c r="C30" s="86"/>
      <c r="D30" s="83"/>
      <c r="E30" s="28"/>
      <c r="F30" s="28"/>
      <c r="G30" s="35" t="s">
        <v>276</v>
      </c>
      <c r="H30" s="34">
        <v>4</v>
      </c>
      <c r="I30" s="95">
        <v>0</v>
      </c>
      <c r="J30" s="95">
        <v>0</v>
      </c>
    </row>
    <row r="31" ht="16.5" spans="1:10">
      <c r="A31" s="28">
        <v>45931</v>
      </c>
      <c r="B31" s="28" t="s">
        <v>39</v>
      </c>
      <c r="C31" s="29">
        <v>40061</v>
      </c>
      <c r="D31" s="73" t="s">
        <v>279</v>
      </c>
      <c r="E31" s="29" t="s">
        <v>280</v>
      </c>
      <c r="F31" s="28">
        <v>45937</v>
      </c>
      <c r="G31" s="35" t="s">
        <v>79</v>
      </c>
      <c r="H31" s="34">
        <v>6000</v>
      </c>
      <c r="I31" s="95">
        <v>0.039</v>
      </c>
      <c r="J31" s="95">
        <f>H31*I31</f>
        <v>234</v>
      </c>
    </row>
    <row r="32" ht="16.5" spans="1:10">
      <c r="A32" s="28"/>
      <c r="B32" s="28"/>
      <c r="C32" s="29"/>
      <c r="D32" s="73"/>
      <c r="E32" s="29"/>
      <c r="F32" s="28"/>
      <c r="G32" s="35" t="s">
        <v>276</v>
      </c>
      <c r="H32" s="34">
        <v>60</v>
      </c>
      <c r="I32" s="95">
        <v>0</v>
      </c>
      <c r="J32" s="95">
        <v>0</v>
      </c>
    </row>
    <row r="33" ht="16.5" spans="1:10">
      <c r="A33" s="28">
        <v>45935</v>
      </c>
      <c r="B33" s="28" t="s">
        <v>39</v>
      </c>
      <c r="C33" s="29">
        <v>87001</v>
      </c>
      <c r="D33" s="73" t="s">
        <v>281</v>
      </c>
      <c r="E33" s="29" t="s">
        <v>282</v>
      </c>
      <c r="F33" s="28">
        <v>45942</v>
      </c>
      <c r="G33" s="35" t="s">
        <v>79</v>
      </c>
      <c r="H33" s="34">
        <v>6844</v>
      </c>
      <c r="I33" s="95">
        <v>0.039</v>
      </c>
      <c r="J33" s="95">
        <f>H33*I33</f>
        <v>266.916</v>
      </c>
    </row>
    <row r="34" ht="16.5" spans="1:10">
      <c r="A34" s="28"/>
      <c r="B34" s="28"/>
      <c r="C34" s="29"/>
      <c r="D34" s="73"/>
      <c r="E34" s="29"/>
      <c r="F34" s="28"/>
      <c r="G34" s="35" t="s">
        <v>276</v>
      </c>
      <c r="H34" s="34">
        <v>69</v>
      </c>
      <c r="I34" s="95">
        <v>0</v>
      </c>
      <c r="J34" s="95">
        <v>0</v>
      </c>
    </row>
    <row r="35" ht="16.5" spans="1:10">
      <c r="A35" s="28">
        <v>45972</v>
      </c>
      <c r="B35" s="96" t="s">
        <v>39</v>
      </c>
      <c r="C35" s="90" t="s">
        <v>119</v>
      </c>
      <c r="D35" s="97" t="s">
        <v>283</v>
      </c>
      <c r="E35" s="96" t="s">
        <v>284</v>
      </c>
      <c r="F35" s="90">
        <v>45977</v>
      </c>
      <c r="G35" s="95" t="s">
        <v>285</v>
      </c>
      <c r="H35" s="95">
        <v>25000</v>
      </c>
      <c r="I35" s="85">
        <v>0.06</v>
      </c>
      <c r="J35" s="85">
        <f>H35*I35</f>
        <v>1500</v>
      </c>
    </row>
    <row r="36" ht="16.5" spans="1:10">
      <c r="A36" s="28"/>
      <c r="B36" s="96"/>
      <c r="C36" s="96"/>
      <c r="D36" s="97"/>
      <c r="E36" s="96"/>
      <c r="F36" s="90"/>
      <c r="G36" s="95" t="s">
        <v>286</v>
      </c>
      <c r="H36" s="95">
        <f>25000*0.05</f>
        <v>1250</v>
      </c>
      <c r="I36" s="85">
        <v>0</v>
      </c>
      <c r="J36" s="85">
        <f>H36*I36</f>
        <v>0</v>
      </c>
    </row>
    <row r="37" ht="16.5" spans="1:10">
      <c r="J37" s="98">
        <f>SUM(J4:J36)</f>
        <v>3826.858</v>
      </c>
    </row>
  </sheetData>
  <autoFilter xmlns:etc="http://www.wps.cn/officeDocument/2017/etCustomData" ref="A1:J37" etc:filterBottomFollowUsedRange="0">
    <extLst/>
  </autoFilter>
  <mergeCells count="85">
    <mergeCell ref="A1:J1"/>
    <mergeCell ref="A4:A5"/>
    <mergeCell ref="A6:A7"/>
    <mergeCell ref="A8:A9"/>
    <mergeCell ref="A10:A12"/>
    <mergeCell ref="A13:A14"/>
    <mergeCell ref="A15:A18"/>
    <mergeCell ref="A19:A20"/>
    <mergeCell ref="A21:A22"/>
    <mergeCell ref="A23:A26"/>
    <mergeCell ref="A27:A28"/>
    <mergeCell ref="A29:A30"/>
    <mergeCell ref="A31:A32"/>
    <mergeCell ref="A33:A34"/>
    <mergeCell ref="A35:A36"/>
    <mergeCell ref="B4:B5"/>
    <mergeCell ref="B6:B7"/>
    <mergeCell ref="B8:B9"/>
    <mergeCell ref="B10:B12"/>
    <mergeCell ref="B13:B14"/>
    <mergeCell ref="B15:B18"/>
    <mergeCell ref="B19:B20"/>
    <mergeCell ref="B21:B22"/>
    <mergeCell ref="B23:B26"/>
    <mergeCell ref="B27:B28"/>
    <mergeCell ref="B29:B30"/>
    <mergeCell ref="B31:B32"/>
    <mergeCell ref="B33:B34"/>
    <mergeCell ref="B35:B36"/>
    <mergeCell ref="C4:C5"/>
    <mergeCell ref="C6:C7"/>
    <mergeCell ref="C8:C9"/>
    <mergeCell ref="C10:C12"/>
    <mergeCell ref="C13:C14"/>
    <mergeCell ref="C15:C18"/>
    <mergeCell ref="C19:C20"/>
    <mergeCell ref="C21:C22"/>
    <mergeCell ref="C23:C26"/>
    <mergeCell ref="C27:C28"/>
    <mergeCell ref="C29:C30"/>
    <mergeCell ref="C31:C32"/>
    <mergeCell ref="C33:C34"/>
    <mergeCell ref="C35:C36"/>
    <mergeCell ref="D4:D5"/>
    <mergeCell ref="D6:D7"/>
    <mergeCell ref="D8:D9"/>
    <mergeCell ref="D10:D12"/>
    <mergeCell ref="D13:D14"/>
    <mergeCell ref="D15:D18"/>
    <mergeCell ref="D19:D20"/>
    <mergeCell ref="D21:D22"/>
    <mergeCell ref="D23:D26"/>
    <mergeCell ref="D27:D28"/>
    <mergeCell ref="D29:D30"/>
    <mergeCell ref="D31:D32"/>
    <mergeCell ref="D33:D34"/>
    <mergeCell ref="D35:D36"/>
    <mergeCell ref="E4:E5"/>
    <mergeCell ref="E6:E7"/>
    <mergeCell ref="E8:E9"/>
    <mergeCell ref="E10:E12"/>
    <mergeCell ref="E13:E14"/>
    <mergeCell ref="E15:E18"/>
    <mergeCell ref="E19:E20"/>
    <mergeCell ref="E21:E22"/>
    <mergeCell ref="E23:E26"/>
    <mergeCell ref="E27:E28"/>
    <mergeCell ref="E29:E30"/>
    <mergeCell ref="E31:E32"/>
    <mergeCell ref="E33:E34"/>
    <mergeCell ref="E35:E36"/>
    <mergeCell ref="F6:F7"/>
    <mergeCell ref="F8:F9"/>
    <mergeCell ref="F10:F11"/>
    <mergeCell ref="F13:F14"/>
    <mergeCell ref="F15:F16"/>
    <mergeCell ref="F17:F18"/>
    <mergeCell ref="F19:F20"/>
    <mergeCell ref="F21:F22"/>
    <mergeCell ref="F23:F24"/>
    <mergeCell ref="F25:F26"/>
    <mergeCell ref="F29:F30"/>
    <mergeCell ref="F31:F32"/>
    <mergeCell ref="F33:F34"/>
    <mergeCell ref="F35:F3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28">
        <v>45730</v>
      </c>
      <c r="B3" s="29" t="s">
        <v>287</v>
      </c>
      <c r="C3" s="29" t="s">
        <v>288</v>
      </c>
      <c r="D3" s="73" t="s">
        <v>289</v>
      </c>
      <c r="E3" s="29" t="s">
        <v>290</v>
      </c>
      <c r="F3" s="67" t="s">
        <v>291</v>
      </c>
      <c r="G3" s="35" t="s">
        <v>292</v>
      </c>
      <c r="H3" s="74">
        <f>32000*1.02</f>
        <v>32640</v>
      </c>
      <c r="I3" s="68">
        <v>1.07</v>
      </c>
      <c r="J3" s="68">
        <f t="shared" ref="J3:J19" si="0">H3*I3</f>
        <v>34924.8</v>
      </c>
    </row>
    <row r="4" ht="16.5" spans="1:10">
      <c r="A4" s="28"/>
      <c r="B4" s="29"/>
      <c r="C4" s="29"/>
      <c r="D4" s="73"/>
      <c r="E4" s="29"/>
      <c r="F4" s="70"/>
      <c r="G4" s="35" t="s">
        <v>63</v>
      </c>
      <c r="H4" s="74">
        <v>320</v>
      </c>
      <c r="I4" s="68">
        <v>0</v>
      </c>
      <c r="J4" s="68">
        <f t="shared" si="0"/>
        <v>0</v>
      </c>
    </row>
    <row r="5" ht="16.5" spans="1:10">
      <c r="A5" s="28"/>
      <c r="B5" s="29"/>
      <c r="C5" s="29"/>
      <c r="D5" s="73"/>
      <c r="E5" s="29"/>
      <c r="F5" s="70"/>
      <c r="G5" s="29" t="s">
        <v>91</v>
      </c>
      <c r="H5" s="74">
        <f>2*5*5+5</f>
        <v>55</v>
      </c>
      <c r="I5" s="68">
        <v>0</v>
      </c>
      <c r="J5" s="68">
        <f t="shared" si="0"/>
        <v>0</v>
      </c>
    </row>
    <row r="6" ht="16.5" spans="1:10">
      <c r="A6" s="28"/>
      <c r="B6" s="29"/>
      <c r="C6" s="29"/>
      <c r="D6" s="73"/>
      <c r="E6" s="29"/>
      <c r="F6" s="70"/>
      <c r="G6" s="35" t="s">
        <v>79</v>
      </c>
      <c r="H6" s="74">
        <f>8000+8000+8000+8000</f>
        <v>32000</v>
      </c>
      <c r="I6" s="34">
        <v>0.28</v>
      </c>
      <c r="J6" s="68">
        <f t="shared" si="0"/>
        <v>8960</v>
      </c>
    </row>
    <row r="7" ht="16.5" spans="1:10">
      <c r="A7" s="28"/>
      <c r="B7" s="29"/>
      <c r="C7" s="29"/>
      <c r="D7" s="73"/>
      <c r="E7" s="29"/>
      <c r="F7" s="70"/>
      <c r="G7" s="34" t="s">
        <v>22</v>
      </c>
      <c r="H7" s="74">
        <f>8000+8000+8000+8000</f>
        <v>32000</v>
      </c>
      <c r="I7" s="34">
        <v>0.11</v>
      </c>
      <c r="J7" s="68">
        <f t="shared" si="0"/>
        <v>3520</v>
      </c>
    </row>
    <row r="8" ht="16.5" spans="1:10">
      <c r="A8" s="28"/>
      <c r="B8" s="29"/>
      <c r="C8" s="29"/>
      <c r="D8" s="73"/>
      <c r="E8" s="29"/>
      <c r="F8" s="71"/>
      <c r="G8" s="34" t="s">
        <v>107</v>
      </c>
      <c r="H8" s="34">
        <f>32000*4</f>
        <v>128000</v>
      </c>
      <c r="I8" s="34">
        <v>0.042</v>
      </c>
      <c r="J8" s="34">
        <f t="shared" si="0"/>
        <v>5376</v>
      </c>
    </row>
    <row r="9" ht="16.5" spans="1:10">
      <c r="A9" s="28">
        <v>45742</v>
      </c>
      <c r="B9" s="29" t="s">
        <v>287</v>
      </c>
      <c r="C9" s="29" t="s">
        <v>293</v>
      </c>
      <c r="D9" s="73" t="s">
        <v>294</v>
      </c>
      <c r="E9" s="29" t="s">
        <v>295</v>
      </c>
      <c r="F9" s="76" t="s">
        <v>296</v>
      </c>
      <c r="G9" s="35" t="s">
        <v>62</v>
      </c>
      <c r="H9" s="35">
        <v>8000</v>
      </c>
      <c r="I9" s="35">
        <v>1.07</v>
      </c>
      <c r="J9" s="35">
        <f t="shared" si="0"/>
        <v>8560</v>
      </c>
    </row>
    <row r="10" ht="16.5" spans="1:10">
      <c r="A10" s="28"/>
      <c r="B10" s="29"/>
      <c r="C10" s="29"/>
      <c r="D10" s="73"/>
      <c r="E10" s="29"/>
      <c r="F10" s="76"/>
      <c r="G10" s="35" t="s">
        <v>63</v>
      </c>
      <c r="H10" s="35">
        <f>H9*0.01</f>
        <v>80</v>
      </c>
      <c r="I10" s="35">
        <v>0</v>
      </c>
      <c r="J10" s="35">
        <f t="shared" si="0"/>
        <v>0</v>
      </c>
    </row>
    <row r="11" ht="16.5" spans="1:10">
      <c r="A11" s="28"/>
      <c r="B11" s="29"/>
      <c r="C11" s="29"/>
      <c r="D11" s="73"/>
      <c r="E11" s="29"/>
      <c r="F11" s="76"/>
      <c r="G11" s="35" t="s">
        <v>79</v>
      </c>
      <c r="H11" s="35">
        <v>8000</v>
      </c>
      <c r="I11" s="35">
        <v>0.28</v>
      </c>
      <c r="J11" s="35">
        <f t="shared" si="0"/>
        <v>2240</v>
      </c>
    </row>
    <row r="12" ht="16.5" spans="1:10">
      <c r="A12" s="28"/>
      <c r="B12" s="29"/>
      <c r="C12" s="29"/>
      <c r="D12" s="73"/>
      <c r="E12" s="29"/>
      <c r="F12" s="76"/>
      <c r="G12" s="35" t="s">
        <v>22</v>
      </c>
      <c r="H12" s="35">
        <v>8000</v>
      </c>
      <c r="I12" s="35">
        <v>0.11</v>
      </c>
      <c r="J12" s="35">
        <f t="shared" si="0"/>
        <v>880</v>
      </c>
    </row>
    <row r="13" ht="16.5" spans="1:10">
      <c r="A13" s="28"/>
      <c r="B13" s="29"/>
      <c r="C13" s="29"/>
      <c r="D13" s="73"/>
      <c r="E13" s="29"/>
      <c r="F13" s="76"/>
      <c r="G13" s="35" t="s">
        <v>107</v>
      </c>
      <c r="H13" s="35">
        <f>8000*4</f>
        <v>32000</v>
      </c>
      <c r="I13" s="35">
        <v>0.042</v>
      </c>
      <c r="J13" s="35">
        <f t="shared" si="0"/>
        <v>1344</v>
      </c>
    </row>
    <row r="14" ht="16.5" spans="1:10">
      <c r="A14" s="28"/>
      <c r="B14" s="29"/>
      <c r="C14" s="29"/>
      <c r="D14" s="73"/>
      <c r="E14" s="29"/>
      <c r="F14" s="76"/>
      <c r="G14" s="35" t="s">
        <v>62</v>
      </c>
      <c r="H14" s="35">
        <v>5000</v>
      </c>
      <c r="I14" s="35">
        <v>1.07</v>
      </c>
      <c r="J14" s="35">
        <f t="shared" si="0"/>
        <v>5350</v>
      </c>
    </row>
    <row r="15" ht="16.5" spans="1:10">
      <c r="A15" s="28"/>
      <c r="B15" s="29"/>
      <c r="C15" s="29"/>
      <c r="D15" s="73"/>
      <c r="E15" s="29"/>
      <c r="F15" s="76"/>
      <c r="G15" s="35" t="s">
        <v>63</v>
      </c>
      <c r="H15" s="35">
        <f>H14*0.01</f>
        <v>50</v>
      </c>
      <c r="I15" s="35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76"/>
      <c r="G16" s="35" t="s">
        <v>79</v>
      </c>
      <c r="H16" s="35">
        <v>5000</v>
      </c>
      <c r="I16" s="35">
        <v>0.28</v>
      </c>
      <c r="J16" s="35">
        <f t="shared" si="0"/>
        <v>1400</v>
      </c>
    </row>
    <row r="17" ht="16.5" spans="1:10">
      <c r="A17" s="28"/>
      <c r="B17" s="29"/>
      <c r="C17" s="29"/>
      <c r="D17" s="73"/>
      <c r="E17" s="29"/>
      <c r="F17" s="76"/>
      <c r="G17" s="35" t="s">
        <v>22</v>
      </c>
      <c r="H17" s="35">
        <v>5000</v>
      </c>
      <c r="I17" s="35">
        <v>0.11</v>
      </c>
      <c r="J17" s="35">
        <f t="shared" si="0"/>
        <v>550</v>
      </c>
    </row>
    <row r="18" ht="16.5" spans="1:10">
      <c r="A18" s="28"/>
      <c r="B18" s="29"/>
      <c r="C18" s="29"/>
      <c r="D18" s="73"/>
      <c r="E18" s="29"/>
      <c r="F18" s="76"/>
      <c r="G18" s="35" t="s">
        <v>107</v>
      </c>
      <c r="H18" s="35">
        <f>5000*4</f>
        <v>20000</v>
      </c>
      <c r="I18" s="35">
        <v>0.042</v>
      </c>
      <c r="J18" s="35">
        <f t="shared" si="0"/>
        <v>840</v>
      </c>
    </row>
    <row r="19" ht="16.5" spans="1:10">
      <c r="A19" s="28"/>
      <c r="B19" s="29"/>
      <c r="C19" s="29"/>
      <c r="D19" s="73"/>
      <c r="E19" s="29"/>
      <c r="F19" s="76"/>
      <c r="G19" s="35" t="s">
        <v>297</v>
      </c>
      <c r="H19" s="35">
        <v>43260</v>
      </c>
      <c r="I19" s="35">
        <v>0.33</v>
      </c>
      <c r="J19" s="35">
        <f t="shared" si="0"/>
        <v>14275.8</v>
      </c>
    </row>
    <row r="20" ht="16.5" spans="1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298</v>
      </c>
      <c r="D7" s="56" t="s">
        <v>299</v>
      </c>
      <c r="E7" s="28" t="s">
        <v>300</v>
      </c>
      <c r="F7" s="60" t="s">
        <v>301</v>
      </c>
      <c r="G7" s="32" t="s">
        <v>302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301</v>
      </c>
      <c r="G8" s="32" t="s">
        <v>64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301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55</v>
      </c>
      <c r="E11" s="39" t="s">
        <v>43</v>
      </c>
      <c r="F11" s="39" t="s">
        <v>56</v>
      </c>
      <c r="G11" s="32" t="s">
        <v>57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303</v>
      </c>
      <c r="D12" s="30" t="s">
        <v>304</v>
      </c>
      <c r="E12" s="29" t="s">
        <v>305</v>
      </c>
      <c r="F12" s="31" t="s">
        <v>306</v>
      </c>
      <c r="G12" s="32" t="s">
        <v>71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63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307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308</v>
      </c>
      <c r="G15" s="32" t="s">
        <v>79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308</v>
      </c>
      <c r="G16" s="32" t="s">
        <v>309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310</v>
      </c>
      <c r="D17" s="66" t="s">
        <v>311</v>
      </c>
      <c r="E17" s="65" t="s">
        <v>312</v>
      </c>
      <c r="F17" s="67" t="s">
        <v>313</v>
      </c>
      <c r="G17" s="35" t="s">
        <v>71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63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79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64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296</v>
      </c>
      <c r="G22" s="35" t="s">
        <v>314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315</v>
      </c>
      <c r="D23" s="73" t="s">
        <v>316</v>
      </c>
      <c r="E23" s="29" t="s">
        <v>317</v>
      </c>
      <c r="F23" s="67" t="s">
        <v>318</v>
      </c>
      <c r="G23" s="35" t="s">
        <v>71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63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307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79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314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64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319</v>
      </c>
      <c r="E30" s="29" t="s">
        <v>320</v>
      </c>
      <c r="F30" s="67" t="s">
        <v>321</v>
      </c>
      <c r="G30" s="35" t="s">
        <v>62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63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79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64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287</v>
      </c>
      <c r="C35" s="29" t="s">
        <v>288</v>
      </c>
      <c r="D35" s="73" t="s">
        <v>289</v>
      </c>
      <c r="E35" s="29" t="s">
        <v>290</v>
      </c>
      <c r="F35" s="67" t="s">
        <v>291</v>
      </c>
      <c r="G35" s="35" t="s">
        <v>292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63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91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79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107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322</v>
      </c>
      <c r="E41" s="29" t="s">
        <v>323</v>
      </c>
      <c r="F41" s="67" t="s">
        <v>318</v>
      </c>
      <c r="G41" s="35" t="s">
        <v>324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63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325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79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64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326</v>
      </c>
      <c r="D47" s="73" t="s">
        <v>327</v>
      </c>
      <c r="E47" s="29" t="s">
        <v>328</v>
      </c>
      <c r="F47" s="67" t="s">
        <v>318</v>
      </c>
      <c r="G47" s="35" t="s">
        <v>71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63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91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79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64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329</v>
      </c>
      <c r="D53" s="73" t="s">
        <v>330</v>
      </c>
      <c r="E53" s="29" t="s">
        <v>331</v>
      </c>
      <c r="F53" s="67" t="s">
        <v>318</v>
      </c>
      <c r="G53" s="35" t="s">
        <v>71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63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79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314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64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332</v>
      </c>
      <c r="C59" s="29" t="s">
        <v>293</v>
      </c>
      <c r="D59" s="73" t="s">
        <v>294</v>
      </c>
      <c r="E59" s="29" t="s">
        <v>295</v>
      </c>
      <c r="F59" s="76" t="s">
        <v>296</v>
      </c>
      <c r="G59" s="35" t="s">
        <v>62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63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79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107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62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63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79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107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297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332</v>
      </c>
      <c r="C70" s="29" t="s">
        <v>333</v>
      </c>
      <c r="D70" s="73" t="s">
        <v>334</v>
      </c>
      <c r="E70" s="29" t="s">
        <v>335</v>
      </c>
      <c r="F70" s="67" t="s">
        <v>336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337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338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339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116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340</v>
      </c>
      <c r="C3" s="29">
        <v>17476</v>
      </c>
      <c r="D3" s="45" t="s">
        <v>341</v>
      </c>
      <c r="E3" s="46" t="s">
        <v>342</v>
      </c>
      <c r="F3" s="47" t="s">
        <v>343</v>
      </c>
      <c r="G3" s="35" t="s">
        <v>344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143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144</v>
      </c>
      <c r="B8" s="50" t="s">
        <v>145</v>
      </c>
      <c r="C8" s="50" t="s">
        <v>146</v>
      </c>
      <c r="D8" s="50" t="s">
        <v>147</v>
      </c>
      <c r="E8" s="50" t="s">
        <v>148</v>
      </c>
      <c r="F8" s="51" t="s">
        <v>149</v>
      </c>
      <c r="G8" s="50" t="s">
        <v>150</v>
      </c>
      <c r="H8" s="50" t="s">
        <v>151</v>
      </c>
      <c r="I8" s="50" t="s">
        <v>152</v>
      </c>
      <c r="J8" s="50" t="s">
        <v>153</v>
      </c>
    </row>
    <row r="9" ht="28.5" spans="1:11">
      <c r="A9" s="50"/>
      <c r="B9" s="50"/>
      <c r="C9" s="50"/>
      <c r="D9" s="50" t="s">
        <v>154</v>
      </c>
      <c r="E9" s="50"/>
      <c r="F9" s="51" t="s">
        <v>155</v>
      </c>
      <c r="G9" s="50"/>
      <c r="H9" s="50"/>
      <c r="I9" s="52" t="s">
        <v>156</v>
      </c>
      <c r="J9" s="50"/>
    </row>
    <row r="10" ht="28" spans="1:11">
      <c r="A10" s="52">
        <v>1</v>
      </c>
      <c r="B10" s="53">
        <v>45747</v>
      </c>
      <c r="C10" s="50" t="s">
        <v>160</v>
      </c>
      <c r="D10" s="50" t="s">
        <v>161</v>
      </c>
      <c r="E10" s="50" t="s">
        <v>345</v>
      </c>
      <c r="F10" s="50" t="s">
        <v>346</v>
      </c>
      <c r="G10" s="50" t="s">
        <v>221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303</v>
      </c>
      <c r="D3" s="30" t="s">
        <v>304</v>
      </c>
      <c r="E3" s="29" t="s">
        <v>305</v>
      </c>
      <c r="F3" s="31" t="s">
        <v>306</v>
      </c>
      <c r="G3" s="32" t="s">
        <v>71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63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307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308</v>
      </c>
      <c r="G6" s="32" t="s">
        <v>79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308</v>
      </c>
      <c r="G7" s="32" t="s">
        <v>309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347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348</v>
      </c>
      <c r="B2" s="5" t="s">
        <v>349</v>
      </c>
      <c r="C2" s="5" t="s">
        <v>350</v>
      </c>
      <c r="D2" s="6" t="s">
        <v>4</v>
      </c>
      <c r="E2" s="5" t="s">
        <v>351</v>
      </c>
      <c r="F2" s="7" t="s">
        <v>352</v>
      </c>
      <c r="G2" s="8" t="s">
        <v>353</v>
      </c>
      <c r="H2" s="9" t="s">
        <v>354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355</v>
      </c>
      <c r="D3" s="14" t="s">
        <v>356</v>
      </c>
      <c r="E3" s="13" t="s">
        <v>357</v>
      </c>
      <c r="F3" s="15" t="s">
        <v>358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359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360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361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362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11月Adela-国内已部分开票</vt:lpstr>
      <vt:lpstr>12月Adela-国内 </vt:lpstr>
      <vt:lpstr>12月Adela-孟加拉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2026-01-06T14:15:18Z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