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6" activeTab="6"/>
  </bookViews>
  <sheets>
    <sheet name="11月人民币 -已付10万" sheetId="27" state="hidden" r:id="rId1"/>
    <sheet name="12月人民币 " sheetId="29" state="hidden" r:id="rId2"/>
    <sheet name="1月人民币" sheetId="30" state="hidden" r:id="rId3"/>
    <sheet name="2月人民币 " sheetId="31" state="hidden" r:id="rId4"/>
    <sheet name="3月人民币" sheetId="32" state="hidden" r:id="rId5"/>
    <sheet name="4月人民币 " sheetId="33" state="hidden" r:id="rId6"/>
    <sheet name="5月人民币" sheetId="34" r:id="rId7"/>
    <sheet name="6月人民币" sheetId="35" r:id="rId8"/>
    <sheet name="7月人民币" sheetId="36" r:id="rId9"/>
    <sheet name="8月人民币 " sheetId="38" r:id="rId10"/>
    <sheet name="9月人民币" sheetId="39" r:id="rId11"/>
    <sheet name="10月人民币" sheetId="40" r:id="rId12"/>
    <sheet name="11月人民币 " sheetId="41" r:id="rId13"/>
    <sheet name="12月人民币" sheetId="42" r:id="rId14"/>
    <sheet name="美金已付" sheetId="25" state="hidden" r:id="rId15"/>
    <sheet name="美金" sheetId="37" r:id="rId16"/>
  </sheets>
  <definedNames>
    <definedName name="_xlnm._FilterDatabase" localSheetId="0" hidden="1">'11月人民币 -已付10万'!$A$1:$I$75</definedName>
    <definedName name="_xlnm._FilterDatabase" localSheetId="1" hidden="1">'12月人民币 '!$A$1:$I$60</definedName>
    <definedName name="_xlnm._FilterDatabase" localSheetId="2" hidden="1">'1月人民币'!$A$1:$I$42</definedName>
    <definedName name="_xlnm._FilterDatabase" localSheetId="3" hidden="1">'2月人民币 '!$A$1:$I$26</definedName>
    <definedName name="_xlnm._FilterDatabase" localSheetId="4" hidden="1">'3月人民币'!$A$1:$I$45</definedName>
    <definedName name="_xlnm._FilterDatabase" localSheetId="5" hidden="1">'4月人民币 '!$A$1:$I$62</definedName>
    <definedName name="_xlnm._FilterDatabase" localSheetId="6" hidden="1">'5月人民币'!$A$1:$I$82</definedName>
    <definedName name="_xlnm._FilterDatabase" localSheetId="7" hidden="1">'6月人民币'!$A$1:$I$80</definedName>
    <definedName name="_xlnm._FilterDatabase" localSheetId="8" hidden="1">'7月人民币'!$A$1:$I$102</definedName>
    <definedName name="_xlnm._FilterDatabase" localSheetId="9" hidden="1">'8月人民币 '!$A$1:$I$71</definedName>
    <definedName name="_xlnm._FilterDatabase" localSheetId="10" hidden="1">'9月人民币'!$A$1:$I$65</definedName>
    <definedName name="_xlnm._FilterDatabase" localSheetId="11" hidden="1">'10月人民币'!$A$1:$I$47</definedName>
    <definedName name="_xlnm._FilterDatabase" localSheetId="12" hidden="1">'11月人民币 '!$A$1:$I$59</definedName>
    <definedName name="_xlnm._FilterDatabase" localSheetId="13" hidden="1">'12月人民币'!$A$1:$I$71</definedName>
    <definedName name="_xlnm._FilterDatabase" localSheetId="14" hidden="1">美金已付!$A$1:$I$71</definedName>
    <definedName name="_xlnm._FilterDatabase" localSheetId="15" hidden="1">美金!$A$1:$I$41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<sst xmlns="http://schemas.openxmlformats.org/spreadsheetml/2006/main" count="2174" uniqueCount="714">
  <si>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</si>
  <si>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</si>
  <si>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客户联系人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</si>
  <si>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</si>
  <si>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</si>
  <si>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</si>
  <si>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</si>
  <si>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</si>
  <si>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</si>
  <si>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金额(RMB)</t>
  </si>
  <si>
    <t>Grace</t>
  </si>
  <si>
    <t>64444/
64442</t>
  </si>
  <si>
    <t>RJBSK055</t>
  </si>
  <si>
    <t>RIBY 5117-727-984/712/816
Made in Cambodia 女装下装裤子
加单4</t>
  </si>
  <si>
    <t>白色吊牌HPBCGEN001-60*95mm</t>
  </si>
  <si>
    <t>黑色 吊绳 MRBCGEN004-320*1.5mm</t>
  </si>
  <si>
    <t>白色缎带洗标CLBCGEN003*4页-60*25mm</t>
  </si>
  <si>
    <t>白色织标WLBCGEN017-65*19mm</t>
  </si>
  <si>
    <t>64602/
64603/
64604/
64605/
64606/
64607</t>
  </si>
  <si>
    <t>RJBSK056</t>
  </si>
  <si>
    <t xml:space="preserve"> ERMENEGILD  7063-728-712/816/984
Made in Cambodia  女上装
加单1</t>
  </si>
  <si>
    <t>白色缎带洗标CLBCGEN003*4页-63*25mm</t>
  </si>
  <si>
    <t>白织标-55*10mm    BERSHKA_LABEL_WHITE_07B（ BKWOL24005）</t>
  </si>
  <si>
    <t>RJBSK057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</si>
  <si>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712</t>
    </r>
    <r>
      <rPr>
        <sz val="11"/>
        <rFont val="宋体"/>
        <charset val="134"/>
        <scheme val="minor"/>
      </rPr>
      <t xml:space="preserve">
Made in Cambodia 女下装
加单17</t>
    </r>
  </si>
  <si>
    <t>白色缎带洗标CLBCGEN003*5页-60*25mm（加页码）</t>
  </si>
  <si>
    <t>RJBSK058</t>
  </si>
  <si>
    <t>NEWSTEL  5096-757-712
Made in Cambodia 女下装</t>
  </si>
  <si>
    <t>白色缎带洗标CLBCGEN003*4页-60*25mm（加页码）</t>
  </si>
  <si>
    <t>RJBSK059</t>
  </si>
  <si>
    <t>NEWSTEL  5096-747-800/819/892
Made in China 女下装</t>
  </si>
  <si>
    <t>64788/
64789</t>
  </si>
  <si>
    <t>RJBSK061</t>
  </si>
  <si>
    <t>RIBY 5117-727-984/712/816
Made in Cambodia 女装下装裤子
加单5</t>
  </si>
  <si>
    <t>RJBSK062</t>
  </si>
  <si>
    <t>NEWSTEL  5096-778-800
Made in China 女下装
补单</t>
  </si>
  <si>
    <t>白色缎带洗标CLBCGEN003*1页-60*25mm（加页码）</t>
  </si>
  <si>
    <t>64435/
64436</t>
  </si>
  <si>
    <t>RJBSK063</t>
  </si>
  <si>
    <t>RIBY PETITE 5117-747-984/712/816
Made in China 女装下装裤子</t>
  </si>
  <si>
    <t>64790/
64791</t>
  </si>
  <si>
    <t>RJBSK064</t>
  </si>
  <si>
    <t>白色织标WLBCGEN017-65*19mm（产地中国）</t>
  </si>
  <si>
    <t>白色织标WLBCGEN017-65*19mm（产地柬埔寨）</t>
  </si>
  <si>
    <t>RJBSK067</t>
  </si>
  <si>
    <t xml:space="preserve"> ERMENEGILD  7063-728-712/816
Made in Cambodia  女上装
加单2</t>
  </si>
  <si>
    <t>65173-1</t>
  </si>
  <si>
    <t>RJBSK069</t>
  </si>
  <si>
    <t>NEWSTEL  5096-778-401/830
Made in China 女下装
翻单4</t>
  </si>
  <si>
    <t>RJBSK070</t>
  </si>
  <si>
    <t>RIBY 5117-727-984
Made in Cambodia 女装下装裤子
加单6</t>
  </si>
  <si>
    <t>65211/65205</t>
  </si>
  <si>
    <t>RJBSK071</t>
  </si>
  <si>
    <t>NEWSTEL  5096-727-712/812/800
Made in Cambodia 女下装
加单18</t>
  </si>
  <si>
    <t>65194/65223</t>
  </si>
  <si>
    <t>RJBSK072</t>
  </si>
  <si>
    <t>7054-727-401/830/800   AMETRINO  
Made in China 女上装
翻单3</t>
  </si>
  <si>
    <t>白色织标 -39*39mm（03F）WLBCGEN009 （BKWOL24017）</t>
  </si>
  <si>
    <t>65240/65241/65242/65243</t>
  </si>
  <si>
    <t>RJBSK073</t>
  </si>
  <si>
    <t xml:space="preserve"> ERMENEGILD  7063-728-712/816/984
Made in Cambodia  女上装
加单3</t>
  </si>
  <si>
    <t>RJBSK074</t>
  </si>
  <si>
    <t>1892-727-812/300  ADELA
Made in Cambodia  女上装</t>
  </si>
  <si>
    <t>白色缎带洗标CLBCGEN003*5页-60*25mm</t>
  </si>
  <si>
    <t>65333/65334</t>
  </si>
  <si>
    <t>RJBSK076</t>
  </si>
  <si>
    <t>NEWSTEL  5096-727-712/812/800
Made in Cambodia 女下装
加单19</t>
  </si>
  <si>
    <r>
      <rPr>
        <sz val="10.5"/>
        <color rgb="FF000000"/>
        <rFont val="Helvetica"/>
        <charset val="134"/>
      </rPr>
      <t xml:space="preserve">2024/10/25 </t>
    </r>
    <r>
      <rPr>
        <sz val="10.5"/>
        <color rgb="FF000000"/>
        <rFont val="宋体"/>
        <charset val="134"/>
      </rPr>
      <t>安排</t>
    </r>
    <r>
      <rPr>
        <sz val="10.5"/>
        <color rgb="FF000000"/>
        <rFont val="Helvetica"/>
        <charset val="134"/>
      </rPr>
      <t>10W</t>
    </r>
  </si>
  <si>
    <t>3-31安排开票68917.42</t>
  </si>
  <si>
    <t>7-14安排开票53181.96</t>
  </si>
  <si>
    <t>RJBSK065</t>
  </si>
  <si>
    <t>1820-727-712/812/800/406  LILIANA  
Made in Cambodia  女上装</t>
  </si>
  <si>
    <t>RJBSK075</t>
  </si>
  <si>
    <t>RIBY 5117-727-984/712/816
Made in Cambodia 女装下装裤子
加单7</t>
  </si>
  <si>
    <t>白色缎带洗标CLBCGEN003*1页-60*25mm（条码页）</t>
  </si>
  <si>
    <t>RJBSK077</t>
  </si>
  <si>
    <t>2380-777-712/892 SOJA
Made in China  女上装</t>
  </si>
  <si>
    <t xml:space="preserve">白色织标 -30*30mm（04F）WLBCGEN004 </t>
  </si>
  <si>
    <t>14704/14705</t>
  </si>
  <si>
    <t>RJBSK078</t>
  </si>
  <si>
    <t>0098-777-812/300  MOODY
Made in China 女下装</t>
  </si>
  <si>
    <t>65173-2</t>
  </si>
  <si>
    <t>RJBSK080</t>
  </si>
  <si>
    <t>NEWSTEL  5096-778-401/830
Made in China 女下装
翻单5</t>
  </si>
  <si>
    <t>RJBSK081</t>
  </si>
  <si>
    <t>RIBY 5117-728-712/816/984
Made in China 女装下装裤子
加单1</t>
  </si>
  <si>
    <t>65389/65391/65392</t>
  </si>
  <si>
    <t>RJBSK082</t>
  </si>
  <si>
    <t xml:space="preserve"> ERMENEGILD  7063-728-712/984
Made in Cambodia  女上装
加单4</t>
  </si>
  <si>
    <t>65473-1</t>
  </si>
  <si>
    <t>RJBSK083</t>
  </si>
  <si>
    <t>NEWSTEL  5096-778-800
Made in China 女下装
翻单6</t>
  </si>
  <si>
    <t>RJBSK084</t>
  </si>
  <si>
    <t>NEWSTEL  5096-757-812
Made in Cambodia 女下装
翻单1</t>
  </si>
  <si>
    <t>RJBSK085</t>
  </si>
  <si>
    <t>NEWSTEL  5096-727-712/812/800
Made in Cambodia 女下装
补数1，吊牌重做</t>
  </si>
  <si>
    <t>白色吊牌HPBCGEN001-60*95mm（吊牌重做）</t>
  </si>
  <si>
    <t>RJBSK086</t>
  </si>
  <si>
    <t>NEWSTEL  5096-727-712/812/800
Made in Cambodia 女下装
补数2，吊牌重做</t>
  </si>
  <si>
    <t>RJBSK089</t>
  </si>
  <si>
    <t>NEWSTEL  5096-727-812
Made in Cambodia 女下装
加单20</t>
  </si>
  <si>
    <t>RJBSK090</t>
  </si>
  <si>
    <t>NEWSTEL  5096-778-800
Made in China 女下装
翻单7</t>
  </si>
  <si>
    <t>RJBSK091</t>
  </si>
  <si>
    <t>NEWSTEL  5096-778-401/830
Made in China 女下装
翻单8</t>
  </si>
  <si>
    <t>7-14安排开票268083.215</t>
  </si>
  <si>
    <r>
      <rPr>
        <b/>
        <sz val="16"/>
        <color theme="1"/>
        <rFont val="宋体"/>
        <charset val="134"/>
      </rPr>
      <t>JOYFUL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</si>
  <si>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RJBSK092</t>
  </si>
  <si>
    <t xml:space="preserve"> 0920-727-800/902
Made in Cambodia  女上装</t>
  </si>
  <si>
    <t>白织标-55*10mm   WLBCGEN015（ BKWOL24005）</t>
  </si>
  <si>
    <t>RJBSK093</t>
  </si>
  <si>
    <t>0558-727-251/268/800
Made in Cambodia  女上装</t>
  </si>
  <si>
    <t>RJBSK095</t>
  </si>
  <si>
    <t>NEWSTEL  5096-778-401/830
Made in China 女下装
翻单9</t>
  </si>
  <si>
    <t>RJBSK096</t>
  </si>
  <si>
    <t>NEWSTEL  5096-727-800
Made in Cambodia 女下装
加单21</t>
  </si>
  <si>
    <t>17713/17714</t>
  </si>
  <si>
    <t>RJBSK097</t>
  </si>
  <si>
    <t xml:space="preserve">0098-777-812/300  MOODY
Made in China 女下装
翻单1 </t>
  </si>
  <si>
    <t>18452/18453</t>
  </si>
  <si>
    <t>RJBSK102</t>
  </si>
  <si>
    <t>NEWSTEL  5096-727-800
Made in Cambodia 女下装
加单22</t>
  </si>
  <si>
    <t>RJBSK103</t>
  </si>
  <si>
    <t>1820-727-712 LILIANA  
Made in Cambodia  女上装
补单</t>
  </si>
  <si>
    <t>RJBSK104</t>
  </si>
  <si>
    <t>NEWSTEL  5096-727-800
Made in Cambodia 女下装
加单23</t>
  </si>
  <si>
    <t>RJBSK105</t>
  </si>
  <si>
    <t>NEWSTEL  5096-757-800
Made in Cambodia 女下装
翻单2</t>
  </si>
  <si>
    <t>RJBSK108</t>
  </si>
  <si>
    <t>NEWSTEL  5096-778-800
Made in China 女下装
翻单10</t>
  </si>
  <si>
    <t>7-14安排开票100714.095</t>
  </si>
  <si>
    <t>7-22安排开票26557.4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</si>
  <si>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</si>
  <si>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</si>
  <si>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</si>
  <si>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</si>
  <si>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</si>
  <si>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</si>
  <si>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</si>
  <si>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</si>
  <si>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</si>
  <si>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</si>
  <si>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</si>
  <si>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</si>
  <si>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</si>
  <si>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</si>
  <si>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JOYFUL</t>
  </si>
  <si>
    <t>沭阳融创纺织品有限公司</t>
  </si>
  <si>
    <t>织标</t>
  </si>
  <si>
    <t>按客户开票明细</t>
  </si>
  <si>
    <t>洗标</t>
  </si>
  <si>
    <t>吊牌</t>
  </si>
  <si>
    <t>RJBSK098</t>
  </si>
  <si>
    <t>TC-663  3406-727-401/594
Made in Cambodia 男士下装</t>
  </si>
  <si>
    <t>配比装胶带贴纸  BKSKR24014</t>
  </si>
  <si>
    <t>黄色RFID箱贴BKSKR24016-100*200mm</t>
  </si>
  <si>
    <t>白色织标WLBCGEN020(06B）-85*20mm</t>
  </si>
  <si>
    <t>白色RFID织标WLBCRFI015-65*19mm</t>
  </si>
  <si>
    <t>白色RFID织标WLBCRFI015-65*19mm-免费损耗1%</t>
  </si>
  <si>
    <t>白色RFID织标WLBCRFI015-65*19mm-大货样</t>
  </si>
  <si>
    <t>老系统</t>
  </si>
  <si>
    <t>白色吊牌HPBCRFI001-60*95mm-RFID LOGO</t>
  </si>
  <si>
    <t>14303/
16712/
16714</t>
  </si>
  <si>
    <t>RJBSK101</t>
  </si>
  <si>
    <t>0911-727-251/462
Made in Cambodia  女上装</t>
  </si>
  <si>
    <t>白色缎带洗标CLBCGEN003*6页-60*25mm</t>
  </si>
  <si>
    <t>RSHJBSK001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</si>
  <si>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
Made in China 女下装
翻单11</t>
    </r>
  </si>
  <si>
    <t>7-22安排开票51042.9</t>
  </si>
  <si>
    <t>RSHJBSK004</t>
  </si>
  <si>
    <t>NEWSTEL 5096-727-712/800  
Made in Cambodia 女下装
加单25</t>
  </si>
  <si>
    <t>21304
21305
21306
21307
21308
21309
21310</t>
  </si>
  <si>
    <t>RSHJBSK005</t>
  </si>
  <si>
    <t>LILIANA 1820-728-800/812
China 女上装</t>
  </si>
  <si>
    <t>RSHJBSK006</t>
  </si>
  <si>
    <t>NEWSTEL 5096-778-800 
Made in China 女下装
翻单11 加单</t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</si>
  <si>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（XXS码第一页条码页）</t>
    </r>
  </si>
  <si>
    <r>
      <rPr>
        <sz val="11"/>
        <rFont val="宋体"/>
        <charset val="134"/>
        <scheme val="minor"/>
      </rPr>
      <t>白色吊牌HPBCGEN001-60*95mm</t>
    </r>
    <r>
      <rPr>
        <b/>
        <sz val="11"/>
        <rFont val="宋体"/>
        <charset val="134"/>
        <scheme val="minor"/>
      </rPr>
      <t>（XS:430、S:1000、L:600）</t>
    </r>
  </si>
  <si>
    <r>
      <rPr>
        <sz val="11"/>
        <rFont val="宋体"/>
        <charset val="134"/>
        <scheme val="minor"/>
      </rPr>
      <t>白色缎带洗标CLBCGEN003*1页-60*25mm</t>
    </r>
    <r>
      <rPr>
        <b/>
        <sz val="11"/>
        <rFont val="宋体"/>
        <charset val="134"/>
        <scheme val="minor"/>
      </rPr>
      <t>（XS、S、L第一页条码页）</t>
    </r>
  </si>
  <si>
    <r>
      <rPr>
        <sz val="11"/>
        <rFont val="宋体"/>
        <charset val="134"/>
        <scheme val="minor"/>
      </rPr>
      <t>白色织标WLBCGEN017-65*19mm</t>
    </r>
    <r>
      <rPr>
        <b/>
        <sz val="11"/>
        <rFont val="宋体"/>
        <charset val="134"/>
        <scheme val="minor"/>
      </rPr>
      <t>（XS:430、S:1000、L:600）</t>
    </r>
  </si>
  <si>
    <t>白色吊牌HPBCGEN001-60*95mm（11:600）</t>
  </si>
  <si>
    <t>白色缎带洗标CLBCGEN003*1页-60*25mm（11码第一页条码页）</t>
  </si>
  <si>
    <t>白色织标WLBCGEN017-65*19mm（11码）</t>
  </si>
  <si>
    <t>21624
21625
21626
21627</t>
  </si>
  <si>
    <t>RSHJBSK007</t>
  </si>
  <si>
    <t>LILIANA 1820-727-800/812
Cambodia 女上装 翻单1</t>
  </si>
  <si>
    <t>白色吊牌HPBCGEN001-60*95mm-800色</t>
  </si>
  <si>
    <t>白色吊牌HPBCGEN001-60*95mm-812色</t>
  </si>
  <si>
    <t>白色织标 -39*39mm（03F）WLBCGEN009 （BKWOL24017）-L码</t>
  </si>
  <si>
    <t>RSHJBSK008</t>
  </si>
  <si>
    <r>
      <rPr>
        <sz val="11"/>
        <color theme="1"/>
        <rFont val="宋体"/>
        <charset val="134"/>
        <scheme val="minor"/>
      </rPr>
      <t>NEWSTEL 5096-778-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Made in China 女下装 裤子
翻单12</t>
    </r>
  </si>
  <si>
    <t>RSHJBSK0010</t>
  </si>
  <si>
    <t>CR-553 2960-727-710
China  男上装 T恤衫</t>
  </si>
  <si>
    <t>白色织标 -30*30mm（04F）WLBCGEN004</t>
  </si>
  <si>
    <t>22764
22765</t>
  </si>
  <si>
    <t>RSHJBSK0011</t>
  </si>
  <si>
    <t>NEWSTEL 5096-778-800/812
Made in China 女下装 裤子
翻单13</t>
  </si>
  <si>
    <t>22926
22927</t>
  </si>
  <si>
    <t>RSHJBSK0013</t>
  </si>
  <si>
    <t>NEWSTEL 5096-778-712/800/812
Made in China 女下装 裤子
翻单14</t>
  </si>
  <si>
    <t>23034
23033
23037
23036</t>
  </si>
  <si>
    <t>RSHJBSK0014</t>
  </si>
  <si>
    <t>0558-727-251
Made in Cambodia  女上装
翻单1</t>
  </si>
  <si>
    <t>白色缎带洗标CLBCGEN003*5页-60*25mm（+5%）</t>
  </si>
  <si>
    <t>白织标WLBCGEN015-55*10mm（+5%）</t>
  </si>
  <si>
    <t>22696
22876
23307</t>
  </si>
  <si>
    <t>RSHJBSK0015
河南鑫茂源</t>
  </si>
  <si>
    <t>0558-728-268
China  女上装</t>
  </si>
  <si>
    <t>白色吊牌HPBCGEN001-60*95mm（+5%）</t>
  </si>
  <si>
    <t>23312
23318
23315
23319
23320</t>
  </si>
  <si>
    <t>RSHJBSK0016</t>
  </si>
  <si>
    <t>0558-727-251/800
Made in Cambodia  女上装
翻单2</t>
  </si>
  <si>
    <t>22879
23309
23311
23308
23310</t>
  </si>
  <si>
    <t>RSHJBSK0017</t>
  </si>
  <si>
    <t>0558-727-268
Made in Cambodia  女上装
翻单3</t>
  </si>
  <si>
    <t>RSHJBSK0019
河南鑫茂源</t>
  </si>
  <si>
    <t>NEWSTEL 5096-778-812
Made in China 女下装 裤子
翻单14补单</t>
  </si>
  <si>
    <t>白色缎带洗标CLBCGEN003*1页-60*25mm（第一页）</t>
  </si>
  <si>
    <t>RSHJBSK0020
河南鑫茂源</t>
  </si>
  <si>
    <t>LILIANA 1820-728-800/812
China 女上装 翻单1</t>
  </si>
  <si>
    <t>23963
23964
23965</t>
  </si>
  <si>
    <t>RSHJBSK0021
河南鑫茂源</t>
  </si>
  <si>
    <t>NEWSTEL 5096-778-800/712/812
Made in China 女下装 裤子
翻单15</t>
  </si>
  <si>
    <t>24061
24062</t>
  </si>
  <si>
    <t>RSHJBSK0022</t>
  </si>
  <si>
    <t>NEWSTEL 5096-727-800/712
Made in Cambodia 女下装
加单26</t>
  </si>
  <si>
    <t>RSHJBSK0023
河南鑫茂源</t>
  </si>
  <si>
    <t>strass 5094-777-812
china 女下装</t>
  </si>
  <si>
    <t>22877
22878
23778
23782
23779
23785
23780
23783
23863</t>
  </si>
  <si>
    <t>RSHJBSK0024</t>
  </si>
  <si>
    <t>0558-727-251/268/800
Made in Cambodia  女上装
翻单4</t>
  </si>
  <si>
    <t>22865
22866
22872
22871
23781
23784</t>
  </si>
  <si>
    <t>RSHJBSK0025
河南鑫茂源</t>
  </si>
  <si>
    <t>0558-728-300
China  女上装</t>
  </si>
  <si>
    <t>白色缎带洗标CLBCGEN003*3页-60*25mm（后3页）</t>
  </si>
  <si>
    <t>白色缎带洗标CLBCGEN003*2页-60*25mm（第1、2页）</t>
  </si>
  <si>
    <t>24531
24532
24533
24608
24609
24610
24611</t>
  </si>
  <si>
    <t>RSHJBSK0027
河南鑫茂源</t>
  </si>
  <si>
    <r>
      <rPr>
        <sz val="11"/>
        <color theme="1"/>
        <rFont val="宋体"/>
        <charset val="134"/>
        <scheme val="minor"/>
      </rPr>
      <t>LILIANA 1820-728-</t>
    </r>
    <r>
      <rPr>
        <sz val="11"/>
        <rFont val="宋体"/>
        <charset val="134"/>
        <scheme val="minor"/>
      </rPr>
      <t>712</t>
    </r>
    <r>
      <rPr>
        <sz val="11"/>
        <color theme="1"/>
        <rFont val="宋体"/>
        <charset val="134"/>
        <scheme val="minor"/>
      </rPr>
      <t>/800/812
China 女上装 翻单2</t>
    </r>
  </si>
  <si>
    <t>白色缎带洗标CLBCGEN003*5页-60*25mm（800/812色）</t>
  </si>
  <si>
    <t>白色缎带洗标CLBCGEN003*5页-60*25mm（712色）</t>
  </si>
  <si>
    <t>24535
78040
78046
78042
78050
78043
78052
78054
78053
78044
78045</t>
  </si>
  <si>
    <t>RSHJBSK0028</t>
  </si>
  <si>
    <t>LILIANA 1820-727-712/800
Cambodia 女上装 翻单2</t>
  </si>
  <si>
    <t>/</t>
  </si>
  <si>
    <t>RSHJBSK0030</t>
  </si>
  <si>
    <t>NEWSTEL 5096-778
Made in China 女下装 裤子
翻单15 补单</t>
  </si>
  <si>
    <t>24638
24639</t>
  </si>
  <si>
    <t>RSHJBSK0031
河南鑫茂源</t>
  </si>
  <si>
    <t>NEWSTEL 5096-778-800/712
Made in China 女下装 裤子
翻单16</t>
  </si>
  <si>
    <t>9-17申请开票138063.85</t>
  </si>
  <si>
    <t>10-25申请开票188201.76</t>
  </si>
  <si>
    <t>全部销掉</t>
  </si>
  <si>
    <t>78046
78049
78050
78052
78054
78053
78056
78055</t>
  </si>
  <si>
    <t>RSHJBSK0029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</si>
  <si>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605/818</t>
    </r>
    <r>
      <rPr>
        <sz val="11"/>
        <color theme="1"/>
        <rFont val="宋体"/>
        <charset val="134"/>
        <scheme val="minor"/>
      </rPr>
      <t xml:space="preserve">
Cambodia 女上装 翻单3</t>
    </r>
  </si>
  <si>
    <t>78019
78020</t>
  </si>
  <si>
    <t>RSHJBSK0032
河南鑫茂源</t>
  </si>
  <si>
    <t>CR-653 8024-727-818
China 男短袖</t>
  </si>
  <si>
    <t>白色缎带芯片洗标CLBCRFI001-60*25mm-RFID</t>
  </si>
  <si>
    <t>78543
78822
78544
78823</t>
  </si>
  <si>
    <t>RSHJBSK0034
河南鑫茂源</t>
  </si>
  <si>
    <t>COULANT CH 5107-728-605/712/800/818
China 女下装</t>
  </si>
  <si>
    <t>22878
23315
23319
23309
23311
23782
23785
23783</t>
  </si>
  <si>
    <t>RSHJBSK0036</t>
  </si>
  <si>
    <t>0558-727-268/251/800
Made in Cambodia  女上装
翻单4 加单2</t>
  </si>
  <si>
    <t>78823
78822
78543</t>
  </si>
  <si>
    <t>RSHJBSK0037
河南鑫茂源</t>
  </si>
  <si>
    <t>5096-148-605/818/712/800
China 女下装</t>
  </si>
  <si>
    <t>RSHJBSK0039</t>
  </si>
  <si>
    <t>5096-727-712/800
Cambodia 女下装 加单27</t>
  </si>
  <si>
    <t>78990
78548</t>
  </si>
  <si>
    <t>RSHJBSK0040</t>
  </si>
  <si>
    <t>5096-727-605/818/712/800
Cambodia 女下装 加单28</t>
  </si>
  <si>
    <t>25112
25113
25114
25115</t>
  </si>
  <si>
    <t>RSHJBSK0041</t>
  </si>
  <si>
    <t>LILIANA 1820-728-812
China 女上装 翻单3</t>
  </si>
  <si>
    <t>25116
25117</t>
  </si>
  <si>
    <t>RSHJBSK0042</t>
  </si>
  <si>
    <t>LILIANA 1820-727-800
Cambodia 女上装 翻单4</t>
  </si>
  <si>
    <t>78049
78043
78052
78054
78045
78056
25117</t>
  </si>
  <si>
    <t>RSHJBSK0043</t>
  </si>
  <si>
    <t>LILIANA 1820-727
Cambodia 女上装 翻单5</t>
  </si>
  <si>
    <t>配比装胶带贴纸  BKSKR24014-818色</t>
  </si>
  <si>
    <t>78107
78108
78109
78110
78111
78113</t>
  </si>
  <si>
    <t>RSHJBSK0045</t>
  </si>
  <si>
    <t>UVA 8679-727-712/742/800
Cambodia 女吊带背心</t>
  </si>
  <si>
    <t>白织标-55*10mm 
WLBCGEN015 (BKWOL24005)</t>
  </si>
  <si>
    <t>白色缎带洗标CLBCGEN003*5页-60*25mm（加页码)</t>
  </si>
  <si>
    <t>RSHJBSK0046</t>
  </si>
  <si>
    <t>5096-757-605/818/712/800
Cambodia 女下装</t>
  </si>
  <si>
    <t>RSHJBSK0047</t>
  </si>
  <si>
    <t>5096-727-812
Cambodia 女下装 加单29</t>
  </si>
  <si>
    <t>24535
78046
78050
78052
78054
78053</t>
  </si>
  <si>
    <t>RSHJBSK0048</t>
  </si>
  <si>
    <t>LILIANA 1820-727-800
Cambodia 女上装 翻单2 补单</t>
  </si>
  <si>
    <t>25609
25610
25611
25613</t>
  </si>
  <si>
    <t>RSHJBSK0049</t>
  </si>
  <si>
    <t>0558-727-251/268
Made in Cambodia  女上装
翻单5</t>
  </si>
  <si>
    <t>白织标WLBCGEN015-55*10mm</t>
  </si>
  <si>
    <t>RSHJBSK0052
河南鑫茂源</t>
  </si>
  <si>
    <t>0558-728-300
China  女上装 翻单1 补单</t>
  </si>
  <si>
    <t>白色缎带洗标CLBCGEN003*1页-60*25mm（第3页）</t>
  </si>
  <si>
    <t>RSHJBSK0053
河南鑫茂源</t>
  </si>
  <si>
    <t>5096-148-605/800/818
China 女下装 翻单1</t>
  </si>
  <si>
    <t>RSHJBSK0054
河南鑫茂源</t>
  </si>
  <si>
    <t>5096-148-812
China 女下装 翻单2</t>
  </si>
  <si>
    <t>RSHJBSK0055
河南鑫茂源</t>
  </si>
  <si>
    <t>5096-729-800
China 女下装</t>
  </si>
  <si>
    <t>25302
25680</t>
  </si>
  <si>
    <t>RSHJBSK0056</t>
  </si>
  <si>
    <t>5096-727-812/605/818
Cambodia 女下装 加单30</t>
  </si>
  <si>
    <t>RSHJBSK0059</t>
  </si>
  <si>
    <t>5096-727-800/812
Cambodia 女下装 加单32</t>
  </si>
  <si>
    <t>11/17申请开票49128.9521</t>
  </si>
  <si>
    <t>12/17申请开票230423.67</t>
  </si>
  <si>
    <t>个</t>
  </si>
  <si>
    <t>套</t>
  </si>
  <si>
    <t>平衡项</t>
  </si>
  <si>
    <t>1.13查锦御系统平衡项</t>
  </si>
  <si>
    <r>
      <rPr>
        <sz val="11"/>
        <color theme="1"/>
        <rFont val="宋体"/>
        <charset val="134"/>
        <scheme val="minor"/>
      </rPr>
      <t xml:space="preserve">25705
25706
</t>
    </r>
    <r>
      <rPr>
        <sz val="11"/>
        <rFont val="宋体"/>
        <charset val="134"/>
        <scheme val="minor"/>
      </rPr>
      <t>25708
25707</t>
    </r>
  </si>
  <si>
    <t>RSHJBSK0051</t>
  </si>
  <si>
    <t>0558-727-300
Made in Cambodia  女上装
翻单6</t>
  </si>
  <si>
    <t>RSHJBSK0057
河南鑫茂源</t>
  </si>
  <si>
    <t>LILIANA 1820-148-800
China 女上装</t>
  </si>
  <si>
    <t>白色缎带芯片洗标CLBCRFI001-60*25mm-RFID大货样</t>
  </si>
  <si>
    <t>26011
26017</t>
  </si>
  <si>
    <t>RSHJBSK0061
河南鑫茂源</t>
  </si>
  <si>
    <t>LILIANA 1820-728-812
China 女上装 翻单4</t>
  </si>
  <si>
    <t>25967
25972</t>
  </si>
  <si>
    <t>RSHJBSK0062</t>
  </si>
  <si>
    <t>LILIANA 1820-727-800
Cambodia 女上装 翻单6</t>
  </si>
  <si>
    <t>白色缎带洗标CLBCGEN003*5页-60*25mm（条码页）</t>
  </si>
  <si>
    <t>RSHJBSK0064
河南鑫茂源</t>
  </si>
  <si>
    <t>5096-729-800
China 女下装 补单</t>
  </si>
  <si>
    <t>RSHJBSK0065
河南鑫茂源</t>
  </si>
  <si>
    <t>5096-148-800/812
China 女下装 翻单3</t>
  </si>
  <si>
    <r>
      <rPr>
        <sz val="11"/>
        <color theme="1"/>
        <rFont val="宋体"/>
        <charset val="134"/>
        <scheme val="minor"/>
      </rPr>
      <t xml:space="preserve">26123
</t>
    </r>
    <r>
      <rPr>
        <sz val="11"/>
        <rFont val="宋体"/>
        <charset val="134"/>
        <scheme val="minor"/>
      </rPr>
      <t>26171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26175</t>
    </r>
  </si>
  <si>
    <t>RSHJBSK0066</t>
  </si>
  <si>
    <t>LILIANA 1820-727-800/818
Cambodia 女上装 翻单7</t>
  </si>
  <si>
    <r>
      <rPr>
        <sz val="11"/>
        <rFont val="宋体"/>
        <charset val="134"/>
        <scheme val="minor"/>
      </rPr>
      <t>26173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26174</t>
    </r>
  </si>
  <si>
    <t>RSHJBSK0067
河南鑫茂源</t>
  </si>
  <si>
    <t>LILIANA 1820-728-812
China 女上装 翻单5</t>
  </si>
  <si>
    <t>RRHBSKXPXB02</t>
  </si>
  <si>
    <t>备库</t>
  </si>
  <si>
    <t>RSHJBSK0068
河南鑫茂源</t>
  </si>
  <si>
    <t>5096-148-800/812
China 女下装 翻单4</t>
  </si>
  <si>
    <t>26255
26258</t>
  </si>
  <si>
    <t>RSHJBSK0069</t>
  </si>
  <si>
    <t>5096-149-800/812/605/818
Cambodia 女下装</t>
  </si>
  <si>
    <t>RSHJBSK0070
河南鑫茂源</t>
  </si>
  <si>
    <t>8050-727</t>
  </si>
  <si>
    <r>
      <rPr>
        <sz val="11"/>
        <rFont val="宋体"/>
        <charset val="134"/>
        <scheme val="minor"/>
      </rPr>
      <t>26487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26488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26500</t>
    </r>
  </si>
  <si>
    <t>RSHJBSK0071</t>
  </si>
  <si>
    <t>LILIANA 1820-727-800/818
Cambodia 女上装 翻单8</t>
  </si>
  <si>
    <r>
      <rPr>
        <sz val="11"/>
        <rFont val="宋体"/>
        <charset val="134"/>
        <scheme val="minor"/>
      </rPr>
      <t>26489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26490</t>
    </r>
  </si>
  <si>
    <t>RSHJBSK0072
河南鑫茂源</t>
  </si>
  <si>
    <t>LILIANA 1820-728-812
China 女上装 翻单6</t>
  </si>
  <si>
    <t>RSHJBSK0075
河南鑫茂源</t>
  </si>
  <si>
    <t>5096-148-712/800/812
China 女下装 翻单5</t>
  </si>
  <si>
    <t>RSHJBSK0077</t>
  </si>
  <si>
    <t>5119-727-760/807
Cambodia 女下装</t>
  </si>
  <si>
    <t>白色吊牌HPBCRFI001-60*95mm-RFID LOGO（+2%）</t>
  </si>
  <si>
    <t>白色缎带洗标CLBCGEN003*4页-60*25mm（+2%）</t>
  </si>
  <si>
    <t>白色织标WLBCGEN017（05B）-65*19mm（+2%）</t>
  </si>
  <si>
    <t>白色缎带芯片洗标CLBCRFI001-60*25mm-RFID（+2%）</t>
  </si>
  <si>
    <t>82845
82849
82850</t>
  </si>
  <si>
    <t>RSHJBSK0078
河南鑫茂源</t>
  </si>
  <si>
    <t>5119-728-760/807
China 女下装</t>
  </si>
  <si>
    <t>83173
82981</t>
  </si>
  <si>
    <t>RSHJBSK0082</t>
  </si>
  <si>
    <t>5096-149-712/800/812
Cambodia 女下装 翻单1</t>
  </si>
  <si>
    <t>1/13开票申请41867.1721</t>
  </si>
  <si>
    <r>
      <rPr>
        <sz val="11"/>
        <color theme="1"/>
        <rFont val="宋体"/>
        <charset val="134"/>
        <scheme val="minor"/>
      </rPr>
      <t xml:space="preserve">78289
</t>
    </r>
    <r>
      <rPr>
        <sz val="11"/>
        <rFont val="宋体"/>
        <charset val="134"/>
        <scheme val="minor"/>
      </rPr>
      <t>78290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78294</t>
    </r>
  </si>
  <si>
    <t>RSHJBSK0044</t>
  </si>
  <si>
    <t>PUNE 7071-727-717/800/812
Cambodia 女上装</t>
  </si>
  <si>
    <t>白色空白芯片标WLBCRF1019-65*20</t>
  </si>
  <si>
    <t>白色缎带洗标CLBCGEN003*4页-60*25mm（加页码)</t>
  </si>
  <si>
    <r>
      <rPr>
        <sz val="11"/>
        <color theme="1"/>
        <rFont val="宋体"/>
        <charset val="134"/>
        <scheme val="minor"/>
      </rPr>
      <t xml:space="preserve">80594
81404
</t>
    </r>
    <r>
      <rPr>
        <sz val="11"/>
        <rFont val="宋体"/>
        <charset val="134"/>
        <scheme val="minor"/>
      </rPr>
      <t>81979
81980</t>
    </r>
  </si>
  <si>
    <t>RSHJBSK0073
河南鑫茂源</t>
  </si>
  <si>
    <t>6969-727-422/716/800
China 女上装</t>
  </si>
  <si>
    <t>白织标-55*10mm 
WLBCGEN015 (BKWOL24005)（+2%）</t>
  </si>
  <si>
    <t>RSHJBSK0074</t>
  </si>
  <si>
    <t>6969-728-422/716/800
Cambodia 女上装</t>
  </si>
  <si>
    <r>
      <rPr>
        <sz val="11"/>
        <rFont val="宋体"/>
        <charset val="134"/>
        <scheme val="minor"/>
      </rPr>
      <t>80595
82569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82499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82572</t>
    </r>
  </si>
  <si>
    <t>RSHJBSK0076</t>
  </si>
  <si>
    <t>7603-727-251/605/800
Cambodia 女上装</t>
  </si>
  <si>
    <t>RSHJBSK0080
河南鑫茂源</t>
  </si>
  <si>
    <t>5096-787-605/800/812/818
China 女下装</t>
  </si>
  <si>
    <t>白色织标WLBCGEN017（05B）-65*19mm</t>
  </si>
  <si>
    <t>RSHJBSK0081
河南鑫茂源</t>
  </si>
  <si>
    <t>5096-747-605/818/712/800
China 女下装</t>
  </si>
  <si>
    <r>
      <rPr>
        <sz val="11"/>
        <rFont val="宋体"/>
        <charset val="134"/>
        <scheme val="minor"/>
      </rPr>
      <t>83175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83172
83288</t>
    </r>
  </si>
  <si>
    <t>RSHJBSK0083</t>
  </si>
  <si>
    <t>LILIANA 1820-727-800/818/712
Cambodia 女上装 翻单9</t>
  </si>
  <si>
    <t>83176
83177</t>
  </si>
  <si>
    <t>RSHJBSK0084
河南鑫茂源</t>
  </si>
  <si>
    <t>LILIANA 1820-728-812
China 女上装 翻单7</t>
  </si>
  <si>
    <t>补单</t>
  </si>
  <si>
    <t>RSHJBSK0085</t>
  </si>
  <si>
    <t>5096-727-812/605/818
Cambodia 女下装 6.17补单
XXL范围</t>
  </si>
  <si>
    <t>白色缎带洗标CLBCGEN003*1页-60*25mm（条码页605/818）</t>
  </si>
  <si>
    <t>RSHJBSK0086</t>
  </si>
  <si>
    <t>5096-149-800/812/712/605/818
Cambodia 女下装 补单</t>
  </si>
  <si>
    <t>RSHJBSK0087</t>
  </si>
  <si>
    <t>5096-757-812
Cambodia 女下装 翻单1</t>
  </si>
  <si>
    <t>RSHJBSK0088</t>
  </si>
  <si>
    <r>
      <rPr>
        <sz val="11"/>
        <rFont val="宋体"/>
        <charset val="134"/>
        <scheme val="minor"/>
      </rPr>
      <t xml:space="preserve">5096-149-605/800/812/818
Cambodia 女下装 翻单2
</t>
    </r>
    <r>
      <rPr>
        <b/>
        <sz val="11"/>
        <color rgb="FFFF0000"/>
        <rFont val="宋体"/>
        <charset val="134"/>
        <scheme val="minor"/>
      </rPr>
      <t>XXL范围版</t>
    </r>
  </si>
  <si>
    <t>白色缎带洗标CLBCGEN003*3页-60*25mm（后面3页）</t>
  </si>
  <si>
    <t>83808
83809</t>
  </si>
  <si>
    <t>RSHJBSK0090
河南鑫茂源</t>
  </si>
  <si>
    <t>6969-727-505
China 女上装 翻单1</t>
  </si>
  <si>
    <t>RSHJBSK0091
河南鑫茂源</t>
  </si>
  <si>
    <r>
      <rPr>
        <sz val="11"/>
        <color theme="1"/>
        <rFont val="宋体"/>
        <charset val="134"/>
        <scheme val="minor"/>
      </rPr>
      <t xml:space="preserve">5119-728-760/807
China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</si>
  <si>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LOGO（+3%）</t>
  </si>
  <si>
    <t>白色缎带洗标CLBCGEN003*1页-60*25mm（XXS条码页）</t>
  </si>
  <si>
    <t>白色织标WLBCGEN017（05B）-65*19mm-XXS码</t>
  </si>
  <si>
    <t>RSHJBSK0092</t>
  </si>
  <si>
    <r>
      <rPr>
        <sz val="11"/>
        <color theme="1"/>
        <rFont val="宋体"/>
        <charset val="134"/>
        <scheme val="minor"/>
      </rPr>
      <t xml:space="preserve">5119-727-760/807
Cambodia 女下装 补单
</t>
    </r>
    <r>
      <rPr>
        <b/>
        <sz val="11"/>
        <color rgb="FFFF0000"/>
        <rFont val="宋体"/>
        <charset val="134"/>
        <scheme val="minor"/>
      </rPr>
      <t>XXS范围版</t>
    </r>
  </si>
  <si>
    <t>白色吊牌HPBCRFI001-60*95mm-RFID LOGO（重做+3%）</t>
  </si>
  <si>
    <t>RSHJBSK0093
河南鑫茂源</t>
  </si>
  <si>
    <t>LILIANA 1820-728-812
China 女上装 翻单8</t>
  </si>
  <si>
    <t>RSHJBSK0094</t>
  </si>
  <si>
    <t>LILIANA 1820-727-800/818
Cambodia 女上装 翻单10</t>
  </si>
  <si>
    <t>85169
85170
85172
81980</t>
  </si>
  <si>
    <t>RSHJBSK0097
河南鑫茂源</t>
  </si>
  <si>
    <t>6969-727-422/505/800
China 女上装 翻单2</t>
  </si>
  <si>
    <t>白色吊牌HPBCRFI001-60*95mm-RFID LOGO（+4%）</t>
  </si>
  <si>
    <t>白色缎带洗标CLBCGEN003*4页-60*25mm（+4%）</t>
  </si>
  <si>
    <t>白织标-55*10mm 
WLBCGEN015 (BKWOL24005)（+4%）</t>
  </si>
  <si>
    <t>白色缎带芯片洗标CLBCRFI001-60*25mm-RFID（+4%）</t>
  </si>
  <si>
    <t>RSHJBSK0098
河南鑫茂源</t>
  </si>
  <si>
    <r>
      <rPr>
        <sz val="11"/>
        <rFont val="宋体"/>
        <charset val="134"/>
        <scheme val="minor"/>
      </rPr>
      <t xml:space="preserve">5096-148-800/812
China 女下装 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</si>
  <si>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83035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85220
85183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85217</t>
    </r>
  </si>
  <si>
    <t>RSHJBSK0095</t>
  </si>
  <si>
    <t>5133-727-754/816/712
Cambodia 女下装</t>
  </si>
  <si>
    <t>白色缎带洗标CLBCGEN003*4页-60*25mm（754/816色+2%）</t>
  </si>
  <si>
    <t>RSHJBSK00103</t>
  </si>
  <si>
    <t>5139-727-893
Cambodia 女下装</t>
  </si>
  <si>
    <t>空白标BKKBXM24002（60*25mm）</t>
  </si>
  <si>
    <t>白色RFID织标WLBCRFI013-65*19mm</t>
  </si>
  <si>
    <t>白色RFID织标WLBCRFI013-65*19mm-免费损耗1%</t>
  </si>
  <si>
    <t>白色RFID织标WLBCRFI013-65*19mm-大货样</t>
  </si>
  <si>
    <t>RSHJBSK00104</t>
  </si>
  <si>
    <t>5133-747-754/816/712
Cambodia 女下装</t>
  </si>
  <si>
    <t>RSHJBSK00108
河南鑫茂源</t>
  </si>
  <si>
    <t>UVA 8679-728-742/800
China 女上装</t>
  </si>
  <si>
    <t>RSHJBSK00109</t>
  </si>
  <si>
    <t>台式RFID机器</t>
  </si>
  <si>
    <t>86225
86877</t>
  </si>
  <si>
    <t>RSHJBSK00110</t>
  </si>
  <si>
    <t>5096-727-605/818
Cambodia 女下装 翻单33</t>
  </si>
  <si>
    <t>86964
86976
86974
86966
86971
86970</t>
  </si>
  <si>
    <t>RSHJBSK00111
河南鑫茂源</t>
  </si>
  <si>
    <t>LILIANA 1820-728-605/712/812
China 女上装 翻单9</t>
  </si>
  <si>
    <t>白色吊牌HPBCGEN001-60*95mm-712/812色</t>
  </si>
  <si>
    <t>RSHJBSK00112
河南鑫茂源</t>
  </si>
  <si>
    <t>CR-815 8112-777-800
China 男上装</t>
  </si>
  <si>
    <t>RSHJBSK00113</t>
  </si>
  <si>
    <t>5096-149-800
Cambodia 女下装 翻单3</t>
  </si>
  <si>
    <t>RSHJBSK00115
河南鑫茂源</t>
  </si>
  <si>
    <t>LILIANA 1820-728-605/712/818
China 女上装 翻单10</t>
  </si>
  <si>
    <t>白色缎带洗标CLBCGEN003*2页-60*25mm（712、605色）</t>
  </si>
  <si>
    <t>RSHJBSK00117</t>
  </si>
  <si>
    <t>LILIANA 1820-727-605/712/818
Cambodia 女上装 翻单11</t>
  </si>
  <si>
    <t>RSHJBSK00118</t>
  </si>
  <si>
    <t>LILIANA 1820-727-800/818
Cambodia 女上装 8.12补单</t>
  </si>
  <si>
    <t>87961
87992</t>
  </si>
  <si>
    <t>RSHJBSK00120</t>
  </si>
  <si>
    <t>LILIANA 1820-727-605/712/800
Cambodia 女上装 翻单12</t>
  </si>
  <si>
    <t>RSHJBSK00122</t>
  </si>
  <si>
    <t>5096-149-712
Cambodia 女下装 翻单4</t>
  </si>
  <si>
    <r>
      <rPr>
        <sz val="11"/>
        <rFont val="宋体"/>
        <charset val="134"/>
        <scheme val="minor"/>
      </rPr>
      <t>84537
84527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</si>
  <si>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RSHJBSK0096</t>
  </si>
  <si>
    <t>BES 7055-727-712/816/306/754
Cambodia 女上装</t>
  </si>
  <si>
    <t>配比装胶带贴纸  BKSKR24014-712/816色</t>
  </si>
  <si>
    <t>配比装胶带贴纸  BKSKR24014-306/754色</t>
  </si>
  <si>
    <t>RSHJBSK00121
河南鑫茂源</t>
  </si>
  <si>
    <t>LILIANA 1820-728-812
China 女上装 翻单11</t>
  </si>
  <si>
    <r>
      <rPr>
        <sz val="11"/>
        <rFont val="宋体"/>
        <charset val="134"/>
        <scheme val="minor"/>
      </rPr>
      <t>88465
88476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88461</t>
    </r>
    <r>
      <rPr>
        <sz val="11"/>
        <color rgb="FFFF0000"/>
        <rFont val="宋体"/>
        <charset val="134"/>
        <scheme val="minor"/>
      </rPr>
      <t xml:space="preserve">
88475
88467
</t>
    </r>
    <r>
      <rPr>
        <sz val="11"/>
        <rFont val="宋体"/>
        <charset val="134"/>
        <scheme val="minor"/>
      </rPr>
      <t>88470</t>
    </r>
    <r>
      <rPr>
        <sz val="11"/>
        <color rgb="FFFF0000"/>
        <rFont val="宋体"/>
        <charset val="134"/>
        <scheme val="minor"/>
      </rPr>
      <t xml:space="preserve">
88466
88477
</t>
    </r>
    <r>
      <rPr>
        <sz val="11"/>
        <rFont val="宋体"/>
        <charset val="134"/>
        <scheme val="minor"/>
      </rPr>
      <t>88471</t>
    </r>
  </si>
  <si>
    <t>RSHJBSK00125</t>
  </si>
  <si>
    <t>LILIANA 1820-727-712/605/800/818/812
Cambodia 女上装 翻单13</t>
  </si>
  <si>
    <t>白色吊牌HPBCGEN001-60*95mm（+4%）</t>
  </si>
  <si>
    <t>白色缎带洗标CLBCGEN003*5页-60*25mm（+4%）</t>
  </si>
  <si>
    <t>白色织标 -39*39mm（03F）WLBCGEN009 （BKWOL24017）（+4%）</t>
  </si>
  <si>
    <t>RSHJBSK00126
河南鑫茂源</t>
  </si>
  <si>
    <t>CR-815 8112-777-800
China 男上装 补单</t>
  </si>
  <si>
    <t>RSHJBSK00127</t>
  </si>
  <si>
    <t>PUNE 7071-727
Cambodia 女上装 空白芯片标备库</t>
  </si>
  <si>
    <t>白色空白芯片标WLBCRF1019-65*20-免费损耗1%</t>
  </si>
  <si>
    <t>89182
89183</t>
  </si>
  <si>
    <t>RSHJBSK00128</t>
  </si>
  <si>
    <t>LILIANA 1820-727-712/605/800/818
Cambodia 女上装 翻单14</t>
  </si>
  <si>
    <t>89190
89191
89192</t>
  </si>
  <si>
    <t>RSHJBSK00130</t>
  </si>
  <si>
    <t>PUNE 7071-727-717/800/812
Cambodia 女上装 翻单1</t>
  </si>
  <si>
    <t>RSHJBSK00131
河南鑫茂源</t>
  </si>
  <si>
    <t>LILIANA 1820-728-812
China 女上装 翻单12</t>
  </si>
  <si>
    <t>89700
89703</t>
  </si>
  <si>
    <t>RSHJBSK00133</t>
  </si>
  <si>
    <t>PUNE 7071-727-401
Cambodia 女上装 翻单2</t>
  </si>
  <si>
    <t>白色缎带洗标CLBCGEN003*1页-60*25mm（条码页)</t>
  </si>
  <si>
    <t>白色空白芯片标WLBCRF1019-65*20-大货样</t>
  </si>
  <si>
    <t>89758
89761</t>
  </si>
  <si>
    <t>RSHJBSK00134</t>
  </si>
  <si>
    <t>LILIANA 1820-727-605/800/818/712
Cambodia 女上装 翻单15</t>
  </si>
  <si>
    <t>RSHJBSK00135
河南鑫茂源</t>
  </si>
  <si>
    <t>LILIANA 1820-728-812
China 女上装 翻单13</t>
  </si>
  <si>
    <t>RSHJBSK00142</t>
  </si>
  <si>
    <t>PUNE 7071-727-122
Cambodia 女上装 翻单3</t>
  </si>
  <si>
    <t>RSHJBSK00143</t>
  </si>
  <si>
    <t>5096-727-712
Cambodia 女下装 翻单34</t>
  </si>
  <si>
    <t>白色织标WLBCGEN017-65*20mm</t>
  </si>
  <si>
    <r>
      <rPr>
        <sz val="11"/>
        <rFont val="宋体"/>
        <charset val="134"/>
        <scheme val="minor"/>
      </rPr>
      <t>90506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90507</t>
    </r>
  </si>
  <si>
    <t>RSHJBSK00144</t>
  </si>
  <si>
    <t>LILIANA 1820-727-800/712
Cambodia 女上装 翻单16</t>
  </si>
  <si>
    <r>
      <rPr>
        <sz val="11"/>
        <rFont val="宋体"/>
        <charset val="134"/>
        <scheme val="minor"/>
      </rPr>
      <t>90568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90573</t>
    </r>
  </si>
  <si>
    <t>RSHJBSK00145</t>
  </si>
  <si>
    <t>LILIANA 1820-727-800/712/605/812
Cambodia 女上装 翻单17</t>
  </si>
  <si>
    <t>RSHJBSK00147</t>
  </si>
  <si>
    <t>NEWSTELLPA 5096-777-886
Cambodia 女下装</t>
  </si>
  <si>
    <t>白色RFID织标WLBCRFI015-65*20mm</t>
  </si>
  <si>
    <t>白色RFID织标WLBCRFI015-65*20mm-免费损耗1%</t>
  </si>
  <si>
    <t>白色RFID织标WLBCRFI015-65*20mm-大货样</t>
  </si>
  <si>
    <t>RSHJBSK00148</t>
  </si>
  <si>
    <t>PUNE 7071-727-800/812
Cambodia 女上装 翻单4</t>
  </si>
  <si>
    <t>RSHJBSK00151</t>
  </si>
  <si>
    <t>PUNE 7071-727-717
Cambodia 女上装 翻单5</t>
  </si>
  <si>
    <t>91215
91217
91219
91221
91211
91214</t>
  </si>
  <si>
    <t>RSHJBSK00153</t>
  </si>
  <si>
    <t>LILIANA 1820-727-800/712/886
Cambodia 女上装 翻单18</t>
  </si>
  <si>
    <t>白色吊牌HPBCGEN001-60*95mm-800/712色</t>
  </si>
  <si>
    <t>白色吊牌HPBCGEN001-60*95mm-886色</t>
  </si>
  <si>
    <t>白色缎带洗标CLBCGEN003*5页-60*25mm-800/712色</t>
  </si>
  <si>
    <t>白色缎带洗标CLBCGEN003*5页-60*25mm-886色</t>
  </si>
  <si>
    <t>91437
91439
91440</t>
  </si>
  <si>
    <t>RSHJBSK00154</t>
  </si>
  <si>
    <t>PUNE 7071-727-717/812/800
Cambodia 女上装 翻单6</t>
  </si>
  <si>
    <r>
      <rPr>
        <sz val="11"/>
        <rFont val="宋体"/>
        <charset val="134"/>
        <scheme val="minor"/>
      </rPr>
      <t>91449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91448</t>
    </r>
  </si>
  <si>
    <t>RSHJBSK00155
河南鑫茂源</t>
  </si>
  <si>
    <t>LILIANA 1820-728-812
China 女上装 翻单14</t>
  </si>
  <si>
    <r>
      <rPr>
        <sz val="11"/>
        <rFont val="宋体"/>
        <charset val="134"/>
        <scheme val="minor"/>
      </rPr>
      <t>41116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41305</t>
    </r>
  </si>
  <si>
    <t>RSHJBSK00152
河南鑫茂源</t>
  </si>
  <si>
    <t>0939-727-800/802
China 男T恤</t>
  </si>
  <si>
    <t>白色缎带芯片洗标CLBCRFI001-60*25mm-RFID-免费损耗1%</t>
  </si>
  <si>
    <r>
      <rPr>
        <sz val="11"/>
        <rFont val="宋体"/>
        <charset val="134"/>
        <scheme val="minor"/>
      </rPr>
      <t>91970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91972</t>
    </r>
  </si>
  <si>
    <t>RSHJBSK00156
河南鑫茂源</t>
  </si>
  <si>
    <t>LILIANA 1820-728-812
China 女上装 翻单15</t>
  </si>
  <si>
    <r>
      <rPr>
        <sz val="11"/>
        <rFont val="宋体"/>
        <charset val="134"/>
        <scheme val="minor"/>
      </rPr>
      <t>91967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91969</t>
    </r>
  </si>
  <si>
    <t>RSHJBSK00157</t>
  </si>
  <si>
    <t>LILIANA 1820-727-605/800
Cambodia 女上装 翻单19</t>
  </si>
  <si>
    <r>
      <rPr>
        <sz val="11"/>
        <rFont val="宋体"/>
        <charset val="134"/>
        <scheme val="minor"/>
      </rPr>
      <t>91920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91921</t>
    </r>
  </si>
  <si>
    <t>RSHJBSK00158</t>
  </si>
  <si>
    <t>PUNE 7071-727-717
Cambodia 女上装 翻单7</t>
  </si>
  <si>
    <r>
      <rPr>
        <sz val="11"/>
        <rFont val="宋体"/>
        <charset val="134"/>
        <scheme val="minor"/>
      </rPr>
      <t>92164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92165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92170</t>
    </r>
  </si>
  <si>
    <t>RSHJBSK00159</t>
  </si>
  <si>
    <t>LILIANA 1820-727-605/800
Cambodia 女上装 翻单20</t>
  </si>
  <si>
    <r>
      <rPr>
        <sz val="11"/>
        <rFont val="宋体"/>
        <charset val="134"/>
        <scheme val="minor"/>
      </rPr>
      <t>92166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92167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92173</t>
    </r>
  </si>
  <si>
    <t>RSHJBSK00160
河南鑫茂源</t>
  </si>
  <si>
    <t>LILIANA 1820-728-812
China 女上装 翻单16</t>
  </si>
  <si>
    <r>
      <rPr>
        <sz val="11"/>
        <rFont val="宋体"/>
        <charset val="134"/>
        <scheme val="minor"/>
      </rPr>
      <t>92456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92457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92462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92469</t>
    </r>
  </si>
  <si>
    <t>RSHJBSK00161</t>
  </si>
  <si>
    <t>LILIANA 1820-727-800/605/812
Cambodia 女上装 翻单21</t>
  </si>
  <si>
    <t>RSHJBSK00163</t>
  </si>
  <si>
    <t>NEWSTELLPA 5096-777-886
Cambodia 女下装 补单</t>
  </si>
  <si>
    <t>92823
92824
92825</t>
  </si>
  <si>
    <t>RSHJBSK00165</t>
  </si>
  <si>
    <t>LILIANA 1820-727-800/812
Cambodia 女上装 翻单22</t>
  </si>
  <si>
    <t>RSHJBSK00166</t>
  </si>
  <si>
    <t>PUNE 7071-727-122
Cambodia 女上装 翻单8</t>
  </si>
  <si>
    <t>92172
92171</t>
  </si>
  <si>
    <t>RSHJBSK00167
许昌范书玲</t>
  </si>
  <si>
    <t>LILIANA 1820-728-812/605/800
China 女上装 翻单17</t>
  </si>
  <si>
    <t>RSHJBSK00168</t>
  </si>
  <si>
    <t>LILIANA 1820-727-800
Cambodia 女上装 翻单22 补单</t>
  </si>
  <si>
    <r>
      <rPr>
        <sz val="11"/>
        <rFont val="宋体"/>
        <charset val="134"/>
        <scheme val="minor"/>
      </rPr>
      <t>42306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44271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42309
45116</t>
    </r>
    <r>
      <rPr>
        <sz val="11"/>
        <color rgb="FFFF0000"/>
        <rFont val="宋体"/>
        <charset val="134"/>
        <scheme val="minor"/>
      </rPr>
      <t xml:space="preserve">
42310
</t>
    </r>
    <r>
      <rPr>
        <sz val="11"/>
        <rFont val="宋体"/>
        <charset val="134"/>
        <scheme val="minor"/>
      </rPr>
      <t>43747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43749</t>
    </r>
    <r>
      <rPr>
        <sz val="11"/>
        <color rgb="FFFF0000"/>
        <rFont val="宋体"/>
        <charset val="134"/>
        <scheme val="minor"/>
      </rPr>
      <t xml:space="preserve">
43752</t>
    </r>
  </si>
  <si>
    <t>RSHJBSK00162</t>
  </si>
  <si>
    <t>SMITHERS 1197-727-700/712/800
Cambodia 女上装</t>
  </si>
  <si>
    <t>白色吊牌HPBCRFI001-60*95mm-RFID LOGO MP</t>
  </si>
  <si>
    <t>MP贴纸101.6*38.1mm（热胶）BKSKR24011</t>
  </si>
  <si>
    <r>
      <rPr>
        <sz val="11"/>
        <rFont val="宋体"/>
        <charset val="134"/>
        <scheme val="minor"/>
      </rPr>
      <t>43413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43469</t>
    </r>
  </si>
  <si>
    <t>RSHJBSK00164
 河南鑫茂源</t>
  </si>
  <si>
    <t>1195-727-400
China 男针织上衣</t>
  </si>
  <si>
    <t>RSHJBSK00169</t>
  </si>
  <si>
    <t>LILIANA 1820-727-800
Cambodia 女上装 翻单23</t>
  </si>
  <si>
    <r>
      <rPr>
        <sz val="11"/>
        <rFont val="宋体"/>
        <charset val="134"/>
        <scheme val="minor"/>
      </rPr>
      <t>92877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92878</t>
    </r>
  </si>
  <si>
    <t>RSHJBSK00170
许昌范书玲</t>
  </si>
  <si>
    <t>LILIANA 1820-728-605/800
China 女上装 翻单18</t>
  </si>
  <si>
    <r>
      <rPr>
        <sz val="11"/>
        <rFont val="宋体"/>
        <charset val="134"/>
        <scheme val="minor"/>
      </rPr>
      <t>43417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43472</t>
    </r>
  </si>
  <si>
    <t>RSHJBSK00171
河南鑫茂源</t>
  </si>
  <si>
    <t>1343-727-611
China 男针织上衣</t>
  </si>
  <si>
    <t>RSHJBSK00173
河南鑫茂源</t>
  </si>
  <si>
    <t>VICTORIANP 1503-727-800
China 女下装</t>
  </si>
  <si>
    <t>白色吊牌HPBCGEN011-60*95mm-RFID LOGO-新版</t>
  </si>
  <si>
    <t>白色织标WLBCGEN017（05B）-65*20mm</t>
  </si>
  <si>
    <t>RSHJBSK00174
河南鑫茂源</t>
  </si>
  <si>
    <t>VICTORIANP 1503-747-800
China 女下装</t>
  </si>
  <si>
    <t>RSHJBSK00175
河南鑫茂源</t>
  </si>
  <si>
    <t>VICTORIANT 1503-787-800
China 女下装</t>
  </si>
  <si>
    <t>RSHJBSK00176</t>
  </si>
  <si>
    <t>1553-727-800
China 男上装</t>
  </si>
  <si>
    <t>金额(USD)</t>
  </si>
  <si>
    <t>RJBSK010</t>
  </si>
  <si>
    <t>NEWSTEL  5096-727-800/819
Made in Cambodia 女下装</t>
  </si>
  <si>
    <t>白色吊牌HPBCGEN001-60*95mm（重做）</t>
  </si>
  <si>
    <t>白色吊牌HPBCGEN001-60*95mm（ZALA吊牌）</t>
  </si>
  <si>
    <t>RJBSK013</t>
  </si>
  <si>
    <t>RIBY 5117-727-984/712/816
Made in Cambodia 女装下装裤子</t>
  </si>
  <si>
    <t>RJBSK014</t>
  </si>
  <si>
    <t>SKETY  6107-727
Made in Cambodia 女装下装半裙</t>
  </si>
  <si>
    <t>RJBSK024</t>
  </si>
  <si>
    <t>7497-727-802 
Made in Cambodia 男上装</t>
  </si>
  <si>
    <t>RJBSK027</t>
  </si>
  <si>
    <t>NEWSTEL  5096-727-800
Made in Cambodia 女下装
加单8</t>
  </si>
  <si>
    <t>RJBSK030</t>
  </si>
  <si>
    <t xml:space="preserve"> ERMENEGILD  7063-728-712/774/816/984
Made in Cambodia  女上装</t>
  </si>
  <si>
    <t>RJBSK035</t>
  </si>
  <si>
    <t>NEWSTEL  5096-727-800
Made in Cambodia 女下装</t>
  </si>
  <si>
    <t>RJBSK031</t>
  </si>
  <si>
    <t>7424-727-717/812
Made in Cambodia 男上装</t>
  </si>
  <si>
    <t>5499-727-717/812
Made in Cambodia 男下装</t>
  </si>
  <si>
    <t>白色织标WLBCGEN020(06B）-85*20mm（+1%）</t>
  </si>
  <si>
    <t>RJBSK051</t>
  </si>
  <si>
    <t>61774/
62840</t>
  </si>
  <si>
    <t>RJBSK060</t>
  </si>
  <si>
    <t>NEWSTEL  5096-727-800
Made in Cambodia 女下装
补单</t>
  </si>
  <si>
    <t>白色吊牌HPBCGEN001-60*95mm（XL）</t>
  </si>
  <si>
    <t>RJBSK066</t>
  </si>
  <si>
    <t>5096-727-892</t>
  </si>
  <si>
    <t>价格贴：红 BKSKR24002 蓝 BKSKR24001</t>
  </si>
  <si>
    <t>RJBSK068</t>
  </si>
  <si>
    <t xml:space="preserve"> ERMENEGILD  7063-728-816
Made in Cambodia  女上装
加单3</t>
  </si>
  <si>
    <t>RJBSK079</t>
  </si>
  <si>
    <t>RIBY 5117-727-984
Made in Cambodia 女装下装裤子</t>
  </si>
  <si>
    <t>RJBSK087</t>
  </si>
  <si>
    <t>NEWSTEL  5096-727-712
Made in Cambodia 女下装
吊牌重做</t>
  </si>
  <si>
    <t>RJBSK088</t>
  </si>
  <si>
    <t>5096-727-800</t>
  </si>
  <si>
    <t xml:space="preserve">价格贴：红 BKSKR24002 </t>
  </si>
  <si>
    <t>RJBSK094</t>
  </si>
  <si>
    <r>
      <rPr>
        <sz val="11"/>
        <rFont val="宋体"/>
        <charset val="134"/>
        <scheme val="minor"/>
      </rPr>
      <t>NEWSTEL  5096-727-</t>
    </r>
    <r>
      <rPr>
        <sz val="11"/>
        <color rgb="FFFF0000"/>
        <rFont val="宋体"/>
        <charset val="134"/>
        <scheme val="minor"/>
      </rPr>
      <t>892</t>
    </r>
    <r>
      <rPr>
        <sz val="11"/>
        <rFont val="宋体"/>
        <charset val="134"/>
        <scheme val="minor"/>
      </rPr>
      <t xml:space="preserve">
Made in Cambodia 女下装
加单15  补单</t>
    </r>
  </si>
  <si>
    <t>白色吊牌HPBCGEN001-60*95mm（S挂牌）</t>
  </si>
  <si>
    <t>RJBSK099</t>
  </si>
  <si>
    <t>15711/15717/
15721 </t>
  </si>
  <si>
    <t>RJBSK100</t>
  </si>
  <si>
    <t>65659-2</t>
  </si>
  <si>
    <t>RJBSK106</t>
  </si>
  <si>
    <t>NEWSTEL  5096-727-812
Made in Cambodia 女下装
加单20  补单</t>
  </si>
  <si>
    <t>RJBSK107</t>
  </si>
  <si>
    <t>NEWSTEL  5096-727-800
Made in Cambodia 女下装
加单24</t>
  </si>
  <si>
    <t>RSHJBSK002</t>
  </si>
  <si>
    <t>NEWSTEL 5096-727-800
Made in Cambodia 女下装
加单24补单</t>
  </si>
  <si>
    <t>RSHJBSK003</t>
  </si>
  <si>
    <t>NEWSTEL 5096-727-800  XL码
Made in Cambodia 女下装
加单24补单2</t>
  </si>
  <si>
    <t>RSHJBSK009</t>
  </si>
  <si>
    <t>NEWSTEL 5096-727-800/812
Made in Cambodia 女下装
补单</t>
  </si>
  <si>
    <t>RSHJBSK0012</t>
  </si>
  <si>
    <t>0558-727-251
Made in Cambodia 女上装补单</t>
  </si>
  <si>
    <t>RSHJBSK0018</t>
  </si>
  <si>
    <t>0911-727-251
Made in Cambodia  女上装 
补单</t>
  </si>
  <si>
    <t>白色缎带洗标CLBCGEN003*1页-60*25mm（第四页）</t>
  </si>
  <si>
    <t>白色缎带洗标CLBCGEN003*1页-60*25mm（第1页）</t>
  </si>
  <si>
    <t>23034
23037</t>
  </si>
  <si>
    <t>RSHJBSK0026</t>
  </si>
  <si>
    <t>0558-727-251
Made in Cambodia  女上装
翻单4 加单</t>
  </si>
  <si>
    <t>RSHJBSK0050</t>
  </si>
  <si>
    <t>0558-727-251/268
Made in Cambodia  女上装
翻单4 补单</t>
  </si>
  <si>
    <t>白色吊牌HPBCGEN001-60*95mm-ZALA</t>
  </si>
  <si>
    <t>RSHJBSK0060</t>
  </si>
  <si>
    <t>UVA 8679-727-712/742/800
Cambodia 女吊带背心 补单</t>
  </si>
  <si>
    <t>RSHJBSK0089</t>
  </si>
  <si>
    <r>
      <rPr>
        <sz val="11"/>
        <rFont val="宋体"/>
        <charset val="134"/>
        <scheme val="minor"/>
      </rPr>
      <t xml:space="preserve">5096-727-812
Cambodia 女下装 7.1补单
</t>
    </r>
    <r>
      <rPr>
        <b/>
        <sz val="11"/>
        <color rgb="FFFF0000"/>
        <rFont val="宋体"/>
        <charset val="134"/>
        <scheme val="minor"/>
      </rPr>
      <t>XXL范围</t>
    </r>
  </si>
  <si>
    <t>RSHJBSK0099</t>
  </si>
  <si>
    <t>PUNE 7071-727
Cambodia 女上装 补单</t>
  </si>
  <si>
    <t>RSHJBSK00100</t>
  </si>
  <si>
    <r>
      <rPr>
        <sz val="11"/>
        <color theme="1"/>
        <rFont val="宋体"/>
        <charset val="134"/>
        <scheme val="minor"/>
      </rPr>
      <t>LILIANA 1820-727-</t>
    </r>
    <r>
      <rPr>
        <sz val="11"/>
        <rFont val="宋体"/>
        <charset val="134"/>
        <scheme val="minor"/>
      </rPr>
      <t>605</t>
    </r>
    <r>
      <rPr>
        <sz val="11"/>
        <color theme="1"/>
        <rFont val="宋体"/>
        <charset val="134"/>
        <scheme val="minor"/>
      </rPr>
      <t xml:space="preserve">
Cambodia 女上装 补单</t>
    </r>
  </si>
  <si>
    <t>RSHJBSK00101</t>
  </si>
  <si>
    <r>
      <rPr>
        <sz val="11"/>
        <rFont val="宋体"/>
        <charset val="134"/>
        <scheme val="minor"/>
      </rPr>
      <t xml:space="preserve">5096-727-800/818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</si>
  <si>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RSHJBSK00102</t>
  </si>
  <si>
    <r>
      <rPr>
        <sz val="11"/>
        <rFont val="宋体"/>
        <charset val="134"/>
        <scheme val="minor"/>
      </rPr>
      <t xml:space="preserve">5096-149-800
Cambodia 女下装 7.14补单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</si>
  <si>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RSHJBSK00105</t>
  </si>
  <si>
    <t>PUNE 7071-727
Cambodia 女上装 补单2</t>
  </si>
  <si>
    <t>RSHJBSK00107</t>
  </si>
  <si>
    <t>5096-149
China 女下装 7.28补单</t>
  </si>
  <si>
    <t>白色织标WLBCGEN017-65*19mm-XXS码</t>
  </si>
  <si>
    <t>RSHJBSK00114</t>
  </si>
  <si>
    <r>
      <rPr>
        <sz val="11"/>
        <rFont val="宋体"/>
        <charset val="134"/>
        <scheme val="minor"/>
      </rPr>
      <t xml:space="preserve">5096-727-800
Cambodia 女下装 8.9补单
</t>
    </r>
    <r>
      <rPr>
        <b/>
        <sz val="11"/>
        <color rgb="FFFF0000"/>
        <rFont val="宋体"/>
        <charset val="134"/>
        <scheme val="minor"/>
      </rPr>
      <t>XXL范围版</t>
    </r>
  </si>
  <si>
    <t>RSHJBSK00116</t>
  </si>
  <si>
    <r>
      <rPr>
        <sz val="11"/>
        <rFont val="宋体"/>
        <charset val="134"/>
        <scheme val="minor"/>
      </rPr>
      <t xml:space="preserve">5096-149-812
Cambodia 女下装 8.11补单
</t>
    </r>
    <r>
      <rPr>
        <b/>
        <sz val="11"/>
        <color rgb="FFFF0000"/>
        <rFont val="宋体"/>
        <charset val="134"/>
        <scheme val="minor"/>
      </rPr>
      <t>XXL范围版</t>
    </r>
  </si>
  <si>
    <t>RSHJBSK00119</t>
  </si>
  <si>
    <r>
      <rPr>
        <sz val="11"/>
        <rFont val="宋体"/>
        <charset val="134"/>
        <scheme val="minor"/>
      </rPr>
      <t xml:space="preserve">5096-149-605
Cambodia 女下装 8.14补单
</t>
    </r>
    <r>
      <rPr>
        <b/>
        <sz val="11"/>
        <color rgb="FFFF0000"/>
        <rFont val="宋体"/>
        <charset val="134"/>
        <scheme val="minor"/>
      </rPr>
      <t>XXL范围版</t>
    </r>
  </si>
  <si>
    <t>RSHJBSK00123</t>
  </si>
  <si>
    <r>
      <rPr>
        <sz val="11"/>
        <rFont val="宋体"/>
        <charset val="134"/>
        <scheme val="minor"/>
      </rPr>
      <t xml:space="preserve">5096-149-812
Cambodia 女下装 8.15补单
</t>
    </r>
    <r>
      <rPr>
        <b/>
        <sz val="11"/>
        <color rgb="FFFF0000"/>
        <rFont val="宋体"/>
        <charset val="134"/>
        <scheme val="minor"/>
      </rPr>
      <t>XXL范围版</t>
    </r>
  </si>
  <si>
    <r>
      <rPr>
        <sz val="11"/>
        <rFont val="宋体"/>
        <charset val="134"/>
        <scheme val="minor"/>
      </rPr>
      <t>84533</t>
    </r>
    <r>
      <rPr>
        <sz val="11"/>
        <color rgb="FFFF0000"/>
        <rFont val="宋体"/>
        <charset val="134"/>
        <scheme val="minor"/>
      </rPr>
      <t xml:space="preserve">
</t>
    </r>
    <r>
      <rPr>
        <sz val="11"/>
        <rFont val="宋体"/>
        <charset val="134"/>
        <scheme val="minor"/>
      </rPr>
      <t>84538
84539
84535
84534
84540</t>
    </r>
  </si>
  <si>
    <t>RSHJBSK00124</t>
  </si>
  <si>
    <t>BES 7055-727-306/754
Cambodia 女上装 补单</t>
  </si>
  <si>
    <t>RSHJBSK00129</t>
  </si>
  <si>
    <t>BES 7055-727
Cambodia 女上装 补单2</t>
  </si>
  <si>
    <t>RSHJBSK00132</t>
  </si>
  <si>
    <t>5139-727
Cambodia 女下装 补单</t>
  </si>
  <si>
    <t>白色RFID织标WLBCRFI013-65*20mm</t>
  </si>
  <si>
    <t>白色RFID织标WLBCRFI013-65*20mm-免费损耗1%</t>
  </si>
  <si>
    <t>RSHJBSK00136</t>
  </si>
  <si>
    <t>5096-149-800
Cambodia 女下装 翻单5</t>
  </si>
  <si>
    <t>RSHJBSK00137</t>
  </si>
  <si>
    <t>PUNE 7071-727
Cambodia 女上装 补单3</t>
  </si>
  <si>
    <t>RSHJBSK00138</t>
  </si>
  <si>
    <t>5096-149-800
Cambodia 女下装 9.7补单</t>
  </si>
  <si>
    <t>RSHJBSK00139</t>
  </si>
  <si>
    <t>5096-727-605
Cambodia 女下装 9.7补单</t>
  </si>
  <si>
    <t>RSHJBSK00140</t>
  </si>
  <si>
    <t>BES 7055-727
Cambodia 女上装 补单3</t>
  </si>
  <si>
    <t>RSHJBSK00141</t>
  </si>
  <si>
    <t>5096-149-812
Cambodia 女下装 9.13补单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</si>
</sst>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  <numFmt numFmtId="179" formatCode="0.0000_ "/>
    <numFmt numFmtId="180" formatCode="0_ "/>
    <numFmt numFmtId="181" formatCode="\¥#,##0.00_);[Red]\(\¥#,##0.00\)"/>
    <numFmt numFmtId="182" formatCode="0.0_ 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name val="等线"/>
      <charset val="134"/>
    </font>
    <font>
      <sz val="11"/>
      <color theme="1"/>
      <name val="等线"/>
      <charset val="134"/>
    </font>
    <font>
      <sz val="10.5"/>
      <color rgb="FF000000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0.5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2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183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4" fontId="0" fillId="2" borderId="2" xfId="0" applyNumberForma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 wrapText="1"/>
    </xf>
    <xf numFmtId="14" fontId="8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vertical="center"/>
    </xf>
    <xf numFmtId="14" fontId="8" fillId="2" borderId="3" xfId="0" applyNumberFormat="1" applyFont="1" applyFill="1" applyBorder="1" applyAlignment="1">
      <alignment horizontal="center" vertical="center"/>
    </xf>
    <xf numFmtId="180" fontId="0" fillId="2" borderId="1" xfId="0" applyNumberFormat="1" applyFill="1" applyBorder="1" applyAlignment="1">
      <alignment horizontal="center" vertical="center"/>
    </xf>
    <xf numFmtId="14" fontId="8" fillId="2" borderId="4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80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80" fontId="0" fillId="0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3" fontId="6" fillId="0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11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58" fontId="12" fillId="6" borderId="8" xfId="0" applyNumberFormat="1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8" fontId="14" fillId="0" borderId="8" xfId="0" applyNumberFormat="1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58" fontId="12" fillId="6" borderId="9" xfId="0" applyNumberFormat="1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8" fontId="14" fillId="0" borderId="9" xfId="0" applyNumberFormat="1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58" fontId="12" fillId="6" borderId="10" xfId="0" applyNumberFormat="1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8" fontId="14" fillId="0" borderId="10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8" fillId="0" borderId="4" xfId="0" applyNumberFormat="1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0" fillId="8" borderId="1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82" fontId="0" fillId="0" borderId="0" xfId="0" applyNumberFormat="1" applyFill="1">
      <alignment vertical="center"/>
    </xf>
    <xf numFmtId="58" fontId="12" fillId="6" borderId="7" xfId="0" applyNumberFormat="1" applyFont="1" applyFill="1" applyBorder="1" applyAlignment="1">
      <alignment horizontal="center" vertical="center" wrapText="1"/>
    </xf>
    <xf numFmtId="8" fontId="15" fillId="6" borderId="7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10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8" fillId="0" borderId="0" xfId="0" applyNumberFormat="1" applyFont="1" applyFill="1">
      <alignment vertical="center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7" fillId="0" borderId="0" xfId="0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topLeftCell="A35" workbookViewId="0">
      <selection activeCell="E63" sqref="E63:E66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spans="1:9">
      <c r="A3" s="19">
        <v>45575</v>
      </c>
      <c r="B3" s="17" t="s">
        <v>10</v>
      </c>
      <c r="C3" s="20" t="s">
        <v>11</v>
      </c>
      <c r="D3" s="47" t="s">
        <v>12</v>
      </c>
      <c r="E3" s="14" t="s">
        <v>13</v>
      </c>
      <c r="F3" s="14" t="s">
        <v>14</v>
      </c>
      <c r="G3" s="16">
        <v>26250</v>
      </c>
      <c r="H3" s="37">
        <v>0.23</v>
      </c>
      <c r="I3" s="163">
        <f t="shared" ref="I3:I66" si="0">G3*H3</f>
        <v>6037.5</v>
      </c>
    </row>
    <row r="4" spans="1:9">
      <c r="A4" s="19"/>
      <c r="B4" s="17"/>
      <c r="C4" s="17"/>
      <c r="D4" s="47"/>
      <c r="E4" s="14"/>
      <c r="F4" s="16" t="s">
        <v>15</v>
      </c>
      <c r="G4" s="16">
        <v>26250</v>
      </c>
      <c r="H4" s="16">
        <v>0.08</v>
      </c>
      <c r="I4" s="163">
        <f t="shared" si="0"/>
        <v>2100</v>
      </c>
    </row>
    <row r="5" spans="1:9">
      <c r="A5" s="19"/>
      <c r="B5" s="17"/>
      <c r="C5" s="17"/>
      <c r="D5" s="47"/>
      <c r="E5" s="14"/>
      <c r="F5" s="16" t="s">
        <v>16</v>
      </c>
      <c r="G5" s="16">
        <f>26250*4</f>
        <v>105000</v>
      </c>
      <c r="H5" s="16">
        <v>0.04</v>
      </c>
      <c r="I5" s="163">
        <f t="shared" si="0"/>
        <v>4200</v>
      </c>
    </row>
    <row r="6" spans="1:9">
      <c r="A6" s="19"/>
      <c r="B6" s="17"/>
      <c r="C6" s="17"/>
      <c r="D6" s="47"/>
      <c r="E6" s="14"/>
      <c r="F6" s="14" t="s">
        <v>17</v>
      </c>
      <c r="G6" s="16">
        <v>26250</v>
      </c>
      <c r="H6" s="16">
        <v>0.12</v>
      </c>
      <c r="I6" s="163">
        <f t="shared" si="0"/>
        <v>3150</v>
      </c>
    </row>
    <row r="7" spans="1:9">
      <c r="A7" s="19">
        <v>45577</v>
      </c>
      <c r="B7" s="34" t="s">
        <v>10</v>
      </c>
      <c r="C7" s="177" t="s">
        <v>18</v>
      </c>
      <c r="D7" s="178" t="s">
        <v>19</v>
      </c>
      <c r="E7" s="14" t="s">
        <v>20</v>
      </c>
      <c r="F7" s="14" t="s">
        <v>14</v>
      </c>
      <c r="G7" s="52">
        <v>42848</v>
      </c>
      <c r="H7" s="37">
        <v>0.23</v>
      </c>
      <c r="I7" s="163">
        <f t="shared" si="0"/>
        <v>9855.04</v>
      </c>
    </row>
    <row r="8" spans="1:9">
      <c r="A8" s="19"/>
      <c r="B8" s="40"/>
      <c r="C8" s="40"/>
      <c r="D8" s="179"/>
      <c r="E8" s="14"/>
      <c r="F8" s="16" t="s">
        <v>15</v>
      </c>
      <c r="G8" s="52">
        <v>42848</v>
      </c>
      <c r="H8" s="16">
        <v>0.08</v>
      </c>
      <c r="I8" s="163">
        <f t="shared" si="0"/>
        <v>3427.84</v>
      </c>
    </row>
    <row r="9" spans="1:9">
      <c r="A9" s="19"/>
      <c r="B9" s="40"/>
      <c r="C9" s="40"/>
      <c r="D9" s="179"/>
      <c r="E9" s="14"/>
      <c r="F9" s="16" t="s">
        <v>21</v>
      </c>
      <c r="G9" s="52">
        <f>42848*4</f>
        <v>171392</v>
      </c>
      <c r="H9" s="16">
        <v>0.04</v>
      </c>
      <c r="I9" s="163">
        <f t="shared" si="0"/>
        <v>6855.68</v>
      </c>
    </row>
    <row r="10" ht="28" spans="1:9">
      <c r="A10" s="19"/>
      <c r="B10" s="40"/>
      <c r="C10" s="40"/>
      <c r="D10" s="179"/>
      <c r="E10" s="14"/>
      <c r="F10" s="14" t="s">
        <v>22</v>
      </c>
      <c r="G10" s="52">
        <v>42848</v>
      </c>
      <c r="H10" s="16">
        <v>0.095</v>
      </c>
      <c r="I10" s="163">
        <f t="shared" si="0"/>
        <v>4070.56</v>
      </c>
    </row>
    <row r="11" spans="1:9">
      <c r="A11" s="19">
        <v>45580</v>
      </c>
      <c r="B11" s="17" t="s">
        <v>10</v>
      </c>
      <c r="C11" s="20">
        <v>64719</v>
      </c>
      <c r="D11" s="49" t="s">
        <v>23</v>
      </c>
      <c r="E11" s="14" t="s">
        <v>24</v>
      </c>
      <c r="F11" s="14" t="s">
        <v>14</v>
      </c>
      <c r="G11" s="16">
        <v>21000</v>
      </c>
      <c r="H11" s="37">
        <v>0.23</v>
      </c>
      <c r="I11" s="163">
        <f t="shared" si="0"/>
        <v>4830</v>
      </c>
    </row>
    <row r="12" spans="1:9">
      <c r="A12" s="19"/>
      <c r="B12" s="17"/>
      <c r="C12" s="17"/>
      <c r="D12" s="49"/>
      <c r="E12" s="14"/>
      <c r="F12" s="16" t="s">
        <v>15</v>
      </c>
      <c r="G12" s="16">
        <v>21000</v>
      </c>
      <c r="H12" s="16">
        <v>0.08</v>
      </c>
      <c r="I12" s="163">
        <f t="shared" si="0"/>
        <v>1680</v>
      </c>
    </row>
    <row r="13" spans="1:9">
      <c r="A13" s="19"/>
      <c r="B13" s="17"/>
      <c r="C13" s="17"/>
      <c r="D13" s="49"/>
      <c r="E13" s="14"/>
      <c r="F13" s="50" t="s">
        <v>25</v>
      </c>
      <c r="G13" s="16">
        <f>21000*5</f>
        <v>105000</v>
      </c>
      <c r="H13" s="50">
        <v>0.04</v>
      </c>
      <c r="I13" s="163">
        <f t="shared" si="0"/>
        <v>4200</v>
      </c>
    </row>
    <row r="14" spans="1:9">
      <c r="A14" s="19"/>
      <c r="B14" s="17"/>
      <c r="C14" s="17"/>
      <c r="D14" s="49"/>
      <c r="E14" s="14"/>
      <c r="F14" s="14" t="s">
        <v>17</v>
      </c>
      <c r="G14" s="16">
        <v>21000</v>
      </c>
      <c r="H14" s="16">
        <v>0.12</v>
      </c>
      <c r="I14" s="163">
        <f t="shared" si="0"/>
        <v>2520</v>
      </c>
    </row>
    <row r="15" spans="1:9">
      <c r="A15" s="19">
        <v>45580</v>
      </c>
      <c r="B15" s="17" t="s">
        <v>10</v>
      </c>
      <c r="C15" s="20">
        <v>64721</v>
      </c>
      <c r="D15" s="49" t="s">
        <v>26</v>
      </c>
      <c r="E15" s="14" t="s">
        <v>27</v>
      </c>
      <c r="F15" s="14" t="s">
        <v>14</v>
      </c>
      <c r="G15" s="16">
        <v>1260</v>
      </c>
      <c r="H15" s="37">
        <v>0.23</v>
      </c>
      <c r="I15" s="163">
        <f t="shared" si="0"/>
        <v>289.8</v>
      </c>
    </row>
    <row r="16" spans="1:9">
      <c r="A16" s="19"/>
      <c r="B16" s="17"/>
      <c r="C16" s="17"/>
      <c r="D16" s="16"/>
      <c r="E16" s="14"/>
      <c r="F16" s="16" t="s">
        <v>15</v>
      </c>
      <c r="G16" s="16">
        <v>1260</v>
      </c>
      <c r="H16" s="16">
        <v>0.08</v>
      </c>
      <c r="I16" s="163">
        <f t="shared" si="0"/>
        <v>100.8</v>
      </c>
    </row>
    <row r="17" spans="1:9">
      <c r="A17" s="19"/>
      <c r="B17" s="17"/>
      <c r="C17" s="17"/>
      <c r="D17" s="16"/>
      <c r="E17" s="14"/>
      <c r="F17" s="50" t="s">
        <v>28</v>
      </c>
      <c r="G17" s="16">
        <f>1260*4</f>
        <v>5040</v>
      </c>
      <c r="H17" s="50">
        <v>0.04</v>
      </c>
      <c r="I17" s="163">
        <f t="shared" si="0"/>
        <v>201.6</v>
      </c>
    </row>
    <row r="18" spans="1:9">
      <c r="A18" s="19"/>
      <c r="B18" s="17"/>
      <c r="C18" s="17"/>
      <c r="D18" s="16"/>
      <c r="E18" s="14"/>
      <c r="F18" s="14" t="s">
        <v>17</v>
      </c>
      <c r="G18" s="16">
        <v>1260</v>
      </c>
      <c r="H18" s="16">
        <v>0.12</v>
      </c>
      <c r="I18" s="163">
        <f t="shared" si="0"/>
        <v>151.2</v>
      </c>
    </row>
    <row r="19" spans="1:9">
      <c r="A19" s="19">
        <v>45581</v>
      </c>
      <c r="B19" s="17" t="s">
        <v>10</v>
      </c>
      <c r="C19" s="20">
        <v>64410</v>
      </c>
      <c r="D19" s="49" t="s">
        <v>29</v>
      </c>
      <c r="E19" s="14" t="s">
        <v>30</v>
      </c>
      <c r="F19" s="14" t="s">
        <v>14</v>
      </c>
      <c r="G19" s="16">
        <v>4620</v>
      </c>
      <c r="H19" s="37">
        <v>0.23</v>
      </c>
      <c r="I19" s="163">
        <f t="shared" si="0"/>
        <v>1062.6</v>
      </c>
    </row>
    <row r="20" spans="1:9">
      <c r="A20" s="19"/>
      <c r="B20" s="17"/>
      <c r="C20" s="17"/>
      <c r="D20" s="49"/>
      <c r="E20" s="14"/>
      <c r="F20" s="16" t="s">
        <v>15</v>
      </c>
      <c r="G20" s="16">
        <v>4620</v>
      </c>
      <c r="H20" s="16">
        <v>0.08</v>
      </c>
      <c r="I20" s="163">
        <f t="shared" si="0"/>
        <v>369.6</v>
      </c>
    </row>
    <row r="21" spans="1:9">
      <c r="A21" s="19"/>
      <c r="B21" s="17"/>
      <c r="C21" s="17"/>
      <c r="D21" s="49"/>
      <c r="E21" s="14"/>
      <c r="F21" s="50" t="s">
        <v>28</v>
      </c>
      <c r="G21" s="16">
        <f>4620*4</f>
        <v>18480</v>
      </c>
      <c r="H21" s="50">
        <v>0.04</v>
      </c>
      <c r="I21" s="163">
        <f t="shared" si="0"/>
        <v>739.2</v>
      </c>
    </row>
    <row r="22" spans="1:9">
      <c r="A22" s="19"/>
      <c r="B22" s="17"/>
      <c r="C22" s="17"/>
      <c r="D22" s="49"/>
      <c r="E22" s="14"/>
      <c r="F22" s="14" t="s">
        <v>17</v>
      </c>
      <c r="G22" s="16">
        <v>4620</v>
      </c>
      <c r="H22" s="16">
        <v>0.12</v>
      </c>
      <c r="I22" s="163">
        <f t="shared" si="0"/>
        <v>554.4</v>
      </c>
    </row>
    <row r="23" spans="1:9">
      <c r="A23" s="19">
        <v>45584</v>
      </c>
      <c r="B23" s="17" t="s">
        <v>10</v>
      </c>
      <c r="C23" s="20" t="s">
        <v>31</v>
      </c>
      <c r="D23" s="47" t="s">
        <v>32</v>
      </c>
      <c r="E23" s="14" t="s">
        <v>33</v>
      </c>
      <c r="F23" s="14" t="s">
        <v>14</v>
      </c>
      <c r="G23" s="16">
        <v>24677</v>
      </c>
      <c r="H23" s="37">
        <v>0.23</v>
      </c>
      <c r="I23" s="163">
        <f t="shared" si="0"/>
        <v>5675.71</v>
      </c>
    </row>
    <row r="24" spans="1:9">
      <c r="A24" s="19"/>
      <c r="B24" s="17"/>
      <c r="C24" s="17"/>
      <c r="D24" s="47"/>
      <c r="E24" s="14"/>
      <c r="F24" s="16" t="s">
        <v>15</v>
      </c>
      <c r="G24" s="16">
        <v>24677</v>
      </c>
      <c r="H24" s="16">
        <v>0.08</v>
      </c>
      <c r="I24" s="163">
        <f t="shared" si="0"/>
        <v>1974.16</v>
      </c>
    </row>
    <row r="25" spans="1:9">
      <c r="A25" s="19"/>
      <c r="B25" s="17"/>
      <c r="C25" s="17"/>
      <c r="D25" s="47"/>
      <c r="E25" s="14"/>
      <c r="F25" s="16" t="s">
        <v>16</v>
      </c>
      <c r="G25" s="16">
        <f>24677*4</f>
        <v>98708</v>
      </c>
      <c r="H25" s="16">
        <v>0.04</v>
      </c>
      <c r="I25" s="163">
        <f t="shared" si="0"/>
        <v>3948.32</v>
      </c>
    </row>
    <row r="26" spans="1:9">
      <c r="A26" s="19"/>
      <c r="B26" s="17"/>
      <c r="C26" s="17"/>
      <c r="D26" s="47"/>
      <c r="E26" s="14"/>
      <c r="F26" s="14" t="s">
        <v>17</v>
      </c>
      <c r="G26" s="16">
        <v>24677</v>
      </c>
      <c r="H26" s="16">
        <v>0.12</v>
      </c>
      <c r="I26" s="163">
        <f t="shared" si="0"/>
        <v>2961.24</v>
      </c>
    </row>
    <row r="27" spans="1:9">
      <c r="A27" s="19">
        <v>45584</v>
      </c>
      <c r="B27" s="17" t="s">
        <v>10</v>
      </c>
      <c r="C27" s="20"/>
      <c r="D27" s="49" t="s">
        <v>34</v>
      </c>
      <c r="E27" s="14" t="s">
        <v>35</v>
      </c>
      <c r="F27" s="14" t="s">
        <v>14</v>
      </c>
      <c r="G27" s="16">
        <f>630+1050</f>
        <v>1680</v>
      </c>
      <c r="H27" s="37">
        <v>0.23</v>
      </c>
      <c r="I27" s="163">
        <f t="shared" si="0"/>
        <v>386.4</v>
      </c>
    </row>
    <row r="28" spans="1:9">
      <c r="A28" s="19"/>
      <c r="B28" s="17"/>
      <c r="C28" s="17"/>
      <c r="D28" s="49"/>
      <c r="E28" s="14"/>
      <c r="F28" s="16" t="s">
        <v>36</v>
      </c>
      <c r="G28" s="16">
        <f>630+1050</f>
        <v>1680</v>
      </c>
      <c r="H28" s="50">
        <v>0.04</v>
      </c>
      <c r="I28" s="163">
        <f t="shared" si="0"/>
        <v>67.2</v>
      </c>
    </row>
    <row r="29" spans="1:9">
      <c r="A29" s="19"/>
      <c r="B29" s="17"/>
      <c r="C29" s="17"/>
      <c r="D29" s="49"/>
      <c r="E29" s="14"/>
      <c r="F29" s="14" t="s">
        <v>17</v>
      </c>
      <c r="G29" s="16">
        <f>630+1050</f>
        <v>1680</v>
      </c>
      <c r="H29" s="16">
        <v>0.12</v>
      </c>
      <c r="I29" s="163">
        <f t="shared" si="0"/>
        <v>201.6</v>
      </c>
    </row>
    <row r="30" spans="1:9">
      <c r="A30" s="19">
        <v>45584</v>
      </c>
      <c r="B30" s="17" t="s">
        <v>10</v>
      </c>
      <c r="C30" s="20" t="s">
        <v>37</v>
      </c>
      <c r="D30" s="47" t="s">
        <v>38</v>
      </c>
      <c r="E30" s="14" t="s">
        <v>39</v>
      </c>
      <c r="F30" s="14" t="s">
        <v>14</v>
      </c>
      <c r="G30" s="16">
        <v>5248</v>
      </c>
      <c r="H30" s="37">
        <v>0.23</v>
      </c>
      <c r="I30" s="163">
        <f t="shared" si="0"/>
        <v>1207.04</v>
      </c>
    </row>
    <row r="31" spans="1:9">
      <c r="A31" s="19"/>
      <c r="B31" s="17"/>
      <c r="C31" s="17"/>
      <c r="D31" s="47"/>
      <c r="E31" s="14"/>
      <c r="F31" s="16" t="s">
        <v>15</v>
      </c>
      <c r="G31" s="16">
        <v>5248</v>
      </c>
      <c r="H31" s="16">
        <v>0.08</v>
      </c>
      <c r="I31" s="163">
        <f t="shared" si="0"/>
        <v>419.84</v>
      </c>
    </row>
    <row r="32" spans="1:9">
      <c r="A32" s="19"/>
      <c r="B32" s="17"/>
      <c r="C32" s="17"/>
      <c r="D32" s="47"/>
      <c r="E32" s="14"/>
      <c r="F32" s="16" t="s">
        <v>16</v>
      </c>
      <c r="G32" s="16">
        <f>5248*4</f>
        <v>20992</v>
      </c>
      <c r="H32" s="16">
        <v>0.04</v>
      </c>
      <c r="I32" s="163">
        <f t="shared" si="0"/>
        <v>839.68</v>
      </c>
    </row>
    <row r="33" spans="1:9">
      <c r="A33" s="19"/>
      <c r="B33" s="17"/>
      <c r="C33" s="17"/>
      <c r="D33" s="47"/>
      <c r="E33" s="14"/>
      <c r="F33" s="14" t="s">
        <v>17</v>
      </c>
      <c r="G33" s="16">
        <v>5248</v>
      </c>
      <c r="H33" s="16">
        <v>0.12</v>
      </c>
      <c r="I33" s="163">
        <f t="shared" si="0"/>
        <v>629.76</v>
      </c>
    </row>
    <row r="34" spans="1:9">
      <c r="A34" s="19">
        <v>45584</v>
      </c>
      <c r="B34" s="17" t="s">
        <v>10</v>
      </c>
      <c r="C34" s="20" t="s">
        <v>40</v>
      </c>
      <c r="D34" s="47" t="s">
        <v>41</v>
      </c>
      <c r="E34" s="14" t="s">
        <v>39</v>
      </c>
      <c r="F34" s="14" t="s">
        <v>14</v>
      </c>
      <c r="G34" s="16">
        <v>1575</v>
      </c>
      <c r="H34" s="37">
        <v>0.23</v>
      </c>
      <c r="I34" s="163">
        <f t="shared" si="0"/>
        <v>362.25</v>
      </c>
    </row>
    <row r="35" spans="1:9">
      <c r="A35" s="19"/>
      <c r="B35" s="17"/>
      <c r="C35" s="17"/>
      <c r="D35" s="47"/>
      <c r="E35" s="14"/>
      <c r="F35" s="16" t="s">
        <v>15</v>
      </c>
      <c r="G35" s="16">
        <v>1575</v>
      </c>
      <c r="H35" s="16">
        <v>0.08</v>
      </c>
      <c r="I35" s="163">
        <f t="shared" si="0"/>
        <v>126</v>
      </c>
    </row>
    <row r="36" spans="1:9">
      <c r="A36" s="19"/>
      <c r="B36" s="17"/>
      <c r="C36" s="17"/>
      <c r="D36" s="47"/>
      <c r="E36" s="14"/>
      <c r="F36" s="16" t="s">
        <v>16</v>
      </c>
      <c r="G36" s="16">
        <f>1575*4</f>
        <v>6300</v>
      </c>
      <c r="H36" s="16">
        <v>0.04</v>
      </c>
      <c r="I36" s="163">
        <f t="shared" si="0"/>
        <v>252</v>
      </c>
    </row>
    <row r="37" spans="1:9">
      <c r="A37" s="19"/>
      <c r="B37" s="17"/>
      <c r="C37" s="17"/>
      <c r="D37" s="47"/>
      <c r="E37" s="14"/>
      <c r="F37" s="14" t="s">
        <v>42</v>
      </c>
      <c r="G37" s="16">
        <v>1575</v>
      </c>
      <c r="H37" s="16">
        <v>0.12</v>
      </c>
      <c r="I37" s="163">
        <f t="shared" si="0"/>
        <v>189</v>
      </c>
    </row>
    <row r="38" spans="1:9">
      <c r="A38" s="19"/>
      <c r="B38" s="17"/>
      <c r="C38" s="17"/>
      <c r="D38" s="47"/>
      <c r="E38" s="14"/>
      <c r="F38" s="14" t="s">
        <v>43</v>
      </c>
      <c r="G38" s="16">
        <v>1575</v>
      </c>
      <c r="H38" s="16">
        <v>0.12</v>
      </c>
      <c r="I38" s="163">
        <f t="shared" si="0"/>
        <v>189</v>
      </c>
    </row>
    <row r="39" spans="1:9">
      <c r="A39" s="19">
        <v>45591</v>
      </c>
      <c r="B39" s="17" t="s">
        <v>10</v>
      </c>
      <c r="C39" s="20"/>
      <c r="D39" s="49" t="s">
        <v>44</v>
      </c>
      <c r="E39" s="14" t="s">
        <v>45</v>
      </c>
      <c r="F39" s="14" t="s">
        <v>14</v>
      </c>
      <c r="G39" s="52">
        <v>23315</v>
      </c>
      <c r="H39" s="16">
        <v>0.23</v>
      </c>
      <c r="I39" s="163">
        <f t="shared" si="0"/>
        <v>5362.45</v>
      </c>
    </row>
    <row r="40" spans="1:9">
      <c r="A40" s="19"/>
      <c r="B40" s="17"/>
      <c r="C40" s="17"/>
      <c r="D40" s="49"/>
      <c r="E40" s="14"/>
      <c r="F40" s="16" t="s">
        <v>15</v>
      </c>
      <c r="G40" s="52">
        <v>23315</v>
      </c>
      <c r="H40" s="16">
        <v>0.08</v>
      </c>
      <c r="I40" s="163">
        <f t="shared" si="0"/>
        <v>1865.2</v>
      </c>
    </row>
    <row r="41" spans="1:9">
      <c r="A41" s="19"/>
      <c r="B41" s="17"/>
      <c r="C41" s="17"/>
      <c r="D41" s="49"/>
      <c r="E41" s="14"/>
      <c r="F41" s="16" t="s">
        <v>21</v>
      </c>
      <c r="G41" s="52">
        <f>23315*4</f>
        <v>93260</v>
      </c>
      <c r="H41" s="16">
        <v>0.04</v>
      </c>
      <c r="I41" s="163">
        <f t="shared" si="0"/>
        <v>3730.4</v>
      </c>
    </row>
    <row r="42" ht="28" spans="1:9">
      <c r="A42" s="19"/>
      <c r="B42" s="17"/>
      <c r="C42" s="17"/>
      <c r="D42" s="49"/>
      <c r="E42" s="14"/>
      <c r="F42" s="14" t="s">
        <v>22</v>
      </c>
      <c r="G42" s="52">
        <v>23315</v>
      </c>
      <c r="H42" s="16">
        <v>0.095</v>
      </c>
      <c r="I42" s="163">
        <f t="shared" si="0"/>
        <v>2214.925</v>
      </c>
    </row>
    <row r="43" spans="1:9">
      <c r="A43" s="19">
        <v>45596</v>
      </c>
      <c r="B43" s="17" t="s">
        <v>10</v>
      </c>
      <c r="C43" s="20" t="s">
        <v>46</v>
      </c>
      <c r="D43" s="49" t="s">
        <v>47</v>
      </c>
      <c r="E43" s="14" t="s">
        <v>48</v>
      </c>
      <c r="F43" s="14" t="s">
        <v>14</v>
      </c>
      <c r="G43" s="16">
        <v>3150</v>
      </c>
      <c r="H43" s="37">
        <v>0.23</v>
      </c>
      <c r="I43" s="163">
        <f t="shared" si="0"/>
        <v>724.5</v>
      </c>
    </row>
    <row r="44" spans="1:9">
      <c r="A44" s="19"/>
      <c r="B44" s="17"/>
      <c r="C44" s="17"/>
      <c r="D44" s="49"/>
      <c r="E44" s="14"/>
      <c r="F44" s="16" t="s">
        <v>15</v>
      </c>
      <c r="G44" s="16">
        <v>3150</v>
      </c>
      <c r="H44" s="16">
        <v>0.08</v>
      </c>
      <c r="I44" s="163">
        <f t="shared" si="0"/>
        <v>252</v>
      </c>
    </row>
    <row r="45" spans="1:9">
      <c r="A45" s="19"/>
      <c r="B45" s="17"/>
      <c r="C45" s="17"/>
      <c r="D45" s="49"/>
      <c r="E45" s="14"/>
      <c r="F45" s="16" t="s">
        <v>25</v>
      </c>
      <c r="G45" s="16">
        <f>3150*5</f>
        <v>15750</v>
      </c>
      <c r="H45" s="50">
        <v>0.04</v>
      </c>
      <c r="I45" s="163">
        <f t="shared" si="0"/>
        <v>630</v>
      </c>
    </row>
    <row r="46" spans="1:9">
      <c r="A46" s="19"/>
      <c r="B46" s="17"/>
      <c r="C46" s="17"/>
      <c r="D46" s="49"/>
      <c r="E46" s="14"/>
      <c r="F46" s="14" t="s">
        <v>17</v>
      </c>
      <c r="G46" s="16">
        <v>3150</v>
      </c>
      <c r="H46" s="16">
        <v>0.12</v>
      </c>
      <c r="I46" s="163">
        <f t="shared" si="0"/>
        <v>378</v>
      </c>
    </row>
    <row r="47" spans="1:9">
      <c r="A47" s="19">
        <v>45596</v>
      </c>
      <c r="B47" s="17" t="s">
        <v>10</v>
      </c>
      <c r="C47" s="20">
        <v>65150</v>
      </c>
      <c r="D47" s="180" t="s">
        <v>49</v>
      </c>
      <c r="E47" s="14" t="s">
        <v>50</v>
      </c>
      <c r="F47" s="14" t="s">
        <v>14</v>
      </c>
      <c r="G47" s="16">
        <v>15750</v>
      </c>
      <c r="H47" s="37">
        <v>0.23</v>
      </c>
      <c r="I47" s="163">
        <f t="shared" si="0"/>
        <v>3622.5</v>
      </c>
    </row>
    <row r="48" spans="1:9">
      <c r="A48" s="19"/>
      <c r="B48" s="17"/>
      <c r="C48" s="17"/>
      <c r="D48" s="180"/>
      <c r="E48" s="14"/>
      <c r="F48" s="16" t="s">
        <v>15</v>
      </c>
      <c r="G48" s="16">
        <v>15750</v>
      </c>
      <c r="H48" s="16">
        <v>0.08</v>
      </c>
      <c r="I48" s="163">
        <f t="shared" si="0"/>
        <v>1260</v>
      </c>
    </row>
    <row r="49" spans="1:9">
      <c r="A49" s="19"/>
      <c r="B49" s="17"/>
      <c r="C49" s="17"/>
      <c r="D49" s="180"/>
      <c r="E49" s="14"/>
      <c r="F49" s="16" t="s">
        <v>16</v>
      </c>
      <c r="G49" s="16">
        <f>15750*4</f>
        <v>63000</v>
      </c>
      <c r="H49" s="16">
        <v>0.04</v>
      </c>
      <c r="I49" s="163">
        <f t="shared" si="0"/>
        <v>2520</v>
      </c>
    </row>
    <row r="50" spans="1:9">
      <c r="A50" s="19"/>
      <c r="B50" s="17"/>
      <c r="C50" s="17"/>
      <c r="D50" s="180"/>
      <c r="E50" s="14"/>
      <c r="F50" s="14" t="s">
        <v>17</v>
      </c>
      <c r="G50" s="16">
        <v>15750</v>
      </c>
      <c r="H50" s="16">
        <v>0.12</v>
      </c>
      <c r="I50" s="163">
        <f t="shared" si="0"/>
        <v>1890</v>
      </c>
    </row>
    <row r="51" spans="1:9">
      <c r="A51" s="19">
        <v>45597</v>
      </c>
      <c r="B51" s="17" t="s">
        <v>10</v>
      </c>
      <c r="C51" s="14" t="s">
        <v>51</v>
      </c>
      <c r="D51" s="49" t="s">
        <v>52</v>
      </c>
      <c r="E51" s="14" t="s">
        <v>53</v>
      </c>
      <c r="F51" s="14" t="s">
        <v>14</v>
      </c>
      <c r="G51" s="16">
        <v>63000</v>
      </c>
      <c r="H51" s="37">
        <v>0.23</v>
      </c>
      <c r="I51" s="163">
        <f t="shared" si="0"/>
        <v>14490</v>
      </c>
    </row>
    <row r="52" spans="1:9">
      <c r="A52" s="19"/>
      <c r="B52" s="17"/>
      <c r="C52" s="16"/>
      <c r="D52" s="49"/>
      <c r="E52" s="14"/>
      <c r="F52" s="16" t="s">
        <v>15</v>
      </c>
      <c r="G52" s="16">
        <v>63000</v>
      </c>
      <c r="H52" s="16">
        <v>0.08</v>
      </c>
      <c r="I52" s="163">
        <f t="shared" si="0"/>
        <v>5040</v>
      </c>
    </row>
    <row r="53" spans="1:9">
      <c r="A53" s="19"/>
      <c r="B53" s="17"/>
      <c r="C53" s="16"/>
      <c r="D53" s="49"/>
      <c r="E53" s="14"/>
      <c r="F53" s="50" t="s">
        <v>25</v>
      </c>
      <c r="G53" s="16">
        <f>63000*5</f>
        <v>315000</v>
      </c>
      <c r="H53" s="50">
        <v>0.04</v>
      </c>
      <c r="I53" s="163">
        <f t="shared" si="0"/>
        <v>12600</v>
      </c>
    </row>
    <row r="54" spans="1:9">
      <c r="A54" s="19"/>
      <c r="B54" s="17"/>
      <c r="C54" s="16"/>
      <c r="D54" s="49"/>
      <c r="E54" s="14"/>
      <c r="F54" s="14" t="s">
        <v>17</v>
      </c>
      <c r="G54" s="16">
        <v>63000</v>
      </c>
      <c r="H54" s="16">
        <v>0.12</v>
      </c>
      <c r="I54" s="163">
        <f t="shared" si="0"/>
        <v>7560</v>
      </c>
    </row>
    <row r="55" spans="1:9">
      <c r="A55" s="19">
        <v>45597</v>
      </c>
      <c r="B55" s="17" t="s">
        <v>10</v>
      </c>
      <c r="C55" s="20" t="s">
        <v>54</v>
      </c>
      <c r="D55" s="47" t="s">
        <v>55</v>
      </c>
      <c r="E55" s="14" t="s">
        <v>56</v>
      </c>
      <c r="F55" s="14" t="s">
        <v>14</v>
      </c>
      <c r="G55" s="16">
        <v>13650</v>
      </c>
      <c r="H55" s="37">
        <v>0.23</v>
      </c>
      <c r="I55" s="163">
        <f t="shared" si="0"/>
        <v>3139.5</v>
      </c>
    </row>
    <row r="56" spans="1:9">
      <c r="A56" s="19"/>
      <c r="B56" s="17"/>
      <c r="C56" s="17"/>
      <c r="D56" s="47"/>
      <c r="E56" s="14"/>
      <c r="F56" s="16" t="s">
        <v>15</v>
      </c>
      <c r="G56" s="16">
        <v>13650</v>
      </c>
      <c r="H56" s="16">
        <v>0.08</v>
      </c>
      <c r="I56" s="163">
        <f t="shared" si="0"/>
        <v>1092</v>
      </c>
    </row>
    <row r="57" spans="1:9">
      <c r="A57" s="19"/>
      <c r="B57" s="17"/>
      <c r="C57" s="17"/>
      <c r="D57" s="47"/>
      <c r="E57" s="14"/>
      <c r="F57" s="16" t="s">
        <v>16</v>
      </c>
      <c r="G57" s="16">
        <f>13650*4</f>
        <v>54600</v>
      </c>
      <c r="H57" s="16">
        <v>0.04</v>
      </c>
      <c r="I57" s="163">
        <f t="shared" si="0"/>
        <v>2184</v>
      </c>
    </row>
    <row r="58" spans="1:9">
      <c r="A58" s="19"/>
      <c r="B58" s="17"/>
      <c r="C58" s="17"/>
      <c r="D58" s="47"/>
      <c r="E58" s="14"/>
      <c r="F58" s="14" t="s">
        <v>57</v>
      </c>
      <c r="G58" s="16">
        <v>13650</v>
      </c>
      <c r="H58" s="51">
        <v>0.294</v>
      </c>
      <c r="I58" s="163">
        <f t="shared" si="0"/>
        <v>4013.1</v>
      </c>
    </row>
    <row r="59" spans="1:9">
      <c r="A59" s="19">
        <v>45601</v>
      </c>
      <c r="B59" s="17" t="s">
        <v>10</v>
      </c>
      <c r="C59" s="20" t="s">
        <v>58</v>
      </c>
      <c r="D59" s="49" t="s">
        <v>59</v>
      </c>
      <c r="E59" s="14" t="s">
        <v>60</v>
      </c>
      <c r="F59" s="14" t="s">
        <v>14</v>
      </c>
      <c r="G59" s="52">
        <f>41003-5251</f>
        <v>35752</v>
      </c>
      <c r="H59" s="16">
        <v>0.23</v>
      </c>
      <c r="I59" s="163">
        <f t="shared" si="0"/>
        <v>8222.96</v>
      </c>
    </row>
    <row r="60" spans="1:9">
      <c r="A60" s="19"/>
      <c r="B60" s="17"/>
      <c r="C60" s="17"/>
      <c r="D60" s="16"/>
      <c r="E60" s="14"/>
      <c r="F60" s="16" t="s">
        <v>15</v>
      </c>
      <c r="G60" s="52">
        <f>41003-5251</f>
        <v>35752</v>
      </c>
      <c r="H60" s="16">
        <v>0.08</v>
      </c>
      <c r="I60" s="163">
        <f t="shared" si="0"/>
        <v>2860.16</v>
      </c>
    </row>
    <row r="61" spans="1:9">
      <c r="A61" s="19"/>
      <c r="B61" s="17"/>
      <c r="C61" s="17"/>
      <c r="D61" s="16"/>
      <c r="E61" s="14"/>
      <c r="F61" s="16" t="s">
        <v>16</v>
      </c>
      <c r="G61" s="52">
        <f>41003*4</f>
        <v>164012</v>
      </c>
      <c r="H61" s="16">
        <v>0.04</v>
      </c>
      <c r="I61" s="163">
        <f t="shared" si="0"/>
        <v>6560.48</v>
      </c>
    </row>
    <row r="62" ht="28" spans="1:9">
      <c r="A62" s="19"/>
      <c r="B62" s="17"/>
      <c r="C62" s="17"/>
      <c r="D62" s="16"/>
      <c r="E62" s="14"/>
      <c r="F62" s="14" t="s">
        <v>22</v>
      </c>
      <c r="G62" s="52">
        <v>41003</v>
      </c>
      <c r="H62" s="16">
        <v>0.095</v>
      </c>
      <c r="I62" s="163">
        <f t="shared" si="0"/>
        <v>3895.285</v>
      </c>
    </row>
    <row r="63" spans="1:9">
      <c r="A63" s="33">
        <v>45603</v>
      </c>
      <c r="B63" s="17" t="s">
        <v>10</v>
      </c>
      <c r="C63" s="20"/>
      <c r="D63" s="47" t="s">
        <v>61</v>
      </c>
      <c r="E63" s="14" t="s">
        <v>62</v>
      </c>
      <c r="F63" s="14" t="s">
        <v>14</v>
      </c>
      <c r="G63" s="16">
        <v>33600</v>
      </c>
      <c r="H63" s="16">
        <v>0.23</v>
      </c>
      <c r="I63" s="163">
        <f t="shared" si="0"/>
        <v>7728</v>
      </c>
    </row>
    <row r="64" spans="1:9">
      <c r="A64" s="39"/>
      <c r="B64" s="17"/>
      <c r="C64" s="17"/>
      <c r="D64" s="47"/>
      <c r="E64" s="14"/>
      <c r="F64" s="16" t="s">
        <v>15</v>
      </c>
      <c r="G64" s="16">
        <v>33600</v>
      </c>
      <c r="H64" s="16">
        <v>0.08</v>
      </c>
      <c r="I64" s="163">
        <f t="shared" si="0"/>
        <v>2688</v>
      </c>
    </row>
    <row r="65" spans="1:10">
      <c r="A65" s="39"/>
      <c r="B65" s="17"/>
      <c r="C65" s="17"/>
      <c r="D65" s="47"/>
      <c r="E65" s="14"/>
      <c r="F65" s="16" t="s">
        <v>63</v>
      </c>
      <c r="G65" s="16">
        <f>33600*5</f>
        <v>168000</v>
      </c>
      <c r="H65" s="16">
        <v>0.04</v>
      </c>
      <c r="I65" s="163">
        <f t="shared" si="0"/>
        <v>6720</v>
      </c>
    </row>
    <row r="66" spans="1:10">
      <c r="A66" s="43"/>
      <c r="B66" s="17"/>
      <c r="C66" s="17"/>
      <c r="D66" s="47"/>
      <c r="E66" s="14"/>
      <c r="F66" s="14" t="s">
        <v>57</v>
      </c>
      <c r="G66" s="16">
        <v>33600</v>
      </c>
      <c r="H66" s="51">
        <v>0.294</v>
      </c>
      <c r="I66" s="163">
        <f t="shared" si="0"/>
        <v>9878.4</v>
      </c>
    </row>
    <row r="67" spans="1:10">
      <c r="A67" s="161">
        <v>45604</v>
      </c>
      <c r="B67" s="48" t="s">
        <v>10</v>
      </c>
      <c r="C67" s="14" t="s">
        <v>64</v>
      </c>
      <c r="D67" s="16" t="s">
        <v>65</v>
      </c>
      <c r="E67" s="14" t="s">
        <v>66</v>
      </c>
      <c r="F67" s="14" t="s">
        <v>14</v>
      </c>
      <c r="G67" s="16">
        <v>36750</v>
      </c>
      <c r="H67" s="37">
        <v>0.23</v>
      </c>
      <c r="I67" s="163">
        <f>G67*H67</f>
        <v>8452.5</v>
      </c>
    </row>
    <row r="68" spans="1:10">
      <c r="A68" s="164"/>
      <c r="B68" s="48"/>
      <c r="C68" s="16"/>
      <c r="D68" s="16"/>
      <c r="E68" s="14"/>
      <c r="F68" s="16" t="s">
        <v>15</v>
      </c>
      <c r="G68" s="16">
        <v>36750</v>
      </c>
      <c r="H68" s="16">
        <v>0.08</v>
      </c>
      <c r="I68" s="163">
        <f>G68*H68</f>
        <v>2940</v>
      </c>
    </row>
    <row r="69" spans="1:10">
      <c r="A69" s="164"/>
      <c r="B69" s="48"/>
      <c r="C69" s="16"/>
      <c r="D69" s="16"/>
      <c r="E69" s="14"/>
      <c r="F69" s="50" t="s">
        <v>25</v>
      </c>
      <c r="G69" s="16">
        <f>36750*5</f>
        <v>183750</v>
      </c>
      <c r="H69" s="50">
        <v>0.04</v>
      </c>
      <c r="I69" s="163">
        <f>G69*H69</f>
        <v>7350</v>
      </c>
    </row>
    <row r="70" spans="1:10">
      <c r="A70" s="166"/>
      <c r="B70" s="48"/>
      <c r="C70" s="16"/>
      <c r="D70" s="16"/>
      <c r="E70" s="14"/>
      <c r="F70" s="14" t="s">
        <v>17</v>
      </c>
      <c r="G70" s="16">
        <v>36750</v>
      </c>
      <c r="H70" s="16">
        <v>0.12</v>
      </c>
      <c r="I70" s="163">
        <f>G70*H70</f>
        <v>4410</v>
      </c>
    </row>
    <row r="71" spans="1:10">
      <c r="I71" s="1">
        <f>SUM(I3:I70)</f>
        <v>222099.38</v>
      </c>
    </row>
    <row r="72" spans="1:10">
      <c r="I72" s="1">
        <v>-100000</v>
      </c>
      <c r="J72" s="181" t="s">
        <v>67</v>
      </c>
    </row>
    <row r="73" spans="1:10">
      <c r="I73" s="1">
        <f>I71+I72</f>
        <v>122099.38</v>
      </c>
    </row>
    <row r="74" spans="1:10">
      <c r="I74" s="1">
        <v>-68917.42</v>
      </c>
      <c r="J74" s="171" t="s">
        <v>68</v>
      </c>
    </row>
    <row r="75" spans="1:10">
      <c r="I75" s="182">
        <f>I73+I74</f>
        <v>53181.96</v>
      </c>
      <c r="J75" s="171" t="s">
        <v>69</v>
      </c>
    </row>
  </sheetData>
  <autoFilter xmlns:etc="http://www.wps.cn/officeDocument/2017/etCustomData" ref="A1:I75" etc:filterBottomFollowUsedRange="0">
    <extLst/>
  </autoFilter>
  <mergeCells count="86">
    <mergeCell ref="A1:I1"/>
    <mergeCell ref="A3:A6"/>
    <mergeCell ref="A7:A10"/>
    <mergeCell ref="A11:A14"/>
    <mergeCell ref="A15:A18"/>
    <mergeCell ref="A19:A22"/>
    <mergeCell ref="A23:A26"/>
    <mergeCell ref="A27:A29"/>
    <mergeCell ref="A30:A33"/>
    <mergeCell ref="A34:A38"/>
    <mergeCell ref="A39:A42"/>
    <mergeCell ref="A43:A46"/>
    <mergeCell ref="A47:A50"/>
    <mergeCell ref="A51:A54"/>
    <mergeCell ref="A55:A58"/>
    <mergeCell ref="A59:A62"/>
    <mergeCell ref="A63:A66"/>
    <mergeCell ref="A67:A70"/>
    <mergeCell ref="B3:B6"/>
    <mergeCell ref="B7:B10"/>
    <mergeCell ref="B11:B14"/>
    <mergeCell ref="B15:B18"/>
    <mergeCell ref="B19:B22"/>
    <mergeCell ref="B23:B26"/>
    <mergeCell ref="B27:B29"/>
    <mergeCell ref="B30:B33"/>
    <mergeCell ref="B34:B38"/>
    <mergeCell ref="B39:B42"/>
    <mergeCell ref="B43:B46"/>
    <mergeCell ref="B47:B50"/>
    <mergeCell ref="B51:B54"/>
    <mergeCell ref="B55:B58"/>
    <mergeCell ref="B59:B62"/>
    <mergeCell ref="B63:B66"/>
    <mergeCell ref="B67:B70"/>
    <mergeCell ref="C3:C6"/>
    <mergeCell ref="C7:C10"/>
    <mergeCell ref="C11:C14"/>
    <mergeCell ref="C15:C18"/>
    <mergeCell ref="C19:C22"/>
    <mergeCell ref="C23:C26"/>
    <mergeCell ref="C27:C29"/>
    <mergeCell ref="C30:C33"/>
    <mergeCell ref="C34:C38"/>
    <mergeCell ref="C39:C42"/>
    <mergeCell ref="C43:C46"/>
    <mergeCell ref="C47:C50"/>
    <mergeCell ref="C51:C54"/>
    <mergeCell ref="C55:C58"/>
    <mergeCell ref="C59:C62"/>
    <mergeCell ref="C63:C66"/>
    <mergeCell ref="C67:C70"/>
    <mergeCell ref="D3:D6"/>
    <mergeCell ref="D7:D10"/>
    <mergeCell ref="D11:D14"/>
    <mergeCell ref="D15:D18"/>
    <mergeCell ref="D19:D22"/>
    <mergeCell ref="D23:D26"/>
    <mergeCell ref="D27:D29"/>
    <mergeCell ref="D30:D33"/>
    <mergeCell ref="D34:D38"/>
    <mergeCell ref="D39:D42"/>
    <mergeCell ref="D43:D46"/>
    <mergeCell ref="D47:D50"/>
    <mergeCell ref="D51:D54"/>
    <mergeCell ref="D55:D58"/>
    <mergeCell ref="D59:D62"/>
    <mergeCell ref="D63:D66"/>
    <mergeCell ref="D67:D70"/>
    <mergeCell ref="E3:E6"/>
    <mergeCell ref="E7:E10"/>
    <mergeCell ref="E11:E14"/>
    <mergeCell ref="E15:E18"/>
    <mergeCell ref="E19:E22"/>
    <mergeCell ref="E23:E26"/>
    <mergeCell ref="E27:E29"/>
    <mergeCell ref="E30:E33"/>
    <mergeCell ref="E34:E38"/>
    <mergeCell ref="E39:E42"/>
    <mergeCell ref="E43:E46"/>
    <mergeCell ref="E47:E50"/>
    <mergeCell ref="E51:E54"/>
    <mergeCell ref="E55:E58"/>
    <mergeCell ref="E59:E62"/>
    <mergeCell ref="E63:E66"/>
    <mergeCell ref="E67:E7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opLeftCell="A44" workbookViewId="0">
      <selection activeCell="K12" sqref="K12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45843</v>
      </c>
      <c r="B3" s="14" t="s">
        <v>10</v>
      </c>
      <c r="C3" s="14" t="s">
        <v>433</v>
      </c>
      <c r="D3" s="15" t="s">
        <v>434</v>
      </c>
      <c r="E3" s="14" t="s">
        <v>435</v>
      </c>
      <c r="F3" s="14" t="s">
        <v>161</v>
      </c>
      <c r="G3" s="16">
        <v>78222</v>
      </c>
      <c r="H3" s="16">
        <v>0.21</v>
      </c>
      <c r="I3" s="16">
        <f t="shared" ref="I3:I66" si="0">G3*H3</f>
        <v>16426.62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78222</v>
      </c>
      <c r="H4" s="16">
        <v>0.08</v>
      </c>
      <c r="I4" s="16">
        <f t="shared" si="0"/>
        <v>6257.76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v>7689</v>
      </c>
      <c r="H5" s="16">
        <v>0.21</v>
      </c>
      <c r="I5" s="16">
        <f t="shared" si="0"/>
        <v>1614.69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v>7689</v>
      </c>
      <c r="H6" s="16">
        <v>0.08</v>
      </c>
      <c r="I6" s="16">
        <f t="shared" si="0"/>
        <v>615.12</v>
      </c>
    </row>
    <row r="7" customHeight="1" spans="1:9">
      <c r="A7" s="13"/>
      <c r="B7" s="14"/>
      <c r="C7" s="30"/>
      <c r="D7" s="15"/>
      <c r="E7" s="14"/>
      <c r="F7" s="14" t="s">
        <v>161</v>
      </c>
      <c r="G7" s="16">
        <v>7689</v>
      </c>
      <c r="H7" s="16">
        <v>0.21</v>
      </c>
      <c r="I7" s="16">
        <f t="shared" si="0"/>
        <v>1614.69</v>
      </c>
    </row>
    <row r="8" customHeight="1" spans="1:9">
      <c r="A8" s="13"/>
      <c r="B8" s="14"/>
      <c r="C8" s="30"/>
      <c r="D8" s="15"/>
      <c r="E8" s="14"/>
      <c r="F8" s="16" t="s">
        <v>15</v>
      </c>
      <c r="G8" s="16">
        <v>7689</v>
      </c>
      <c r="H8" s="16">
        <v>0.08</v>
      </c>
      <c r="I8" s="16">
        <f t="shared" si="0"/>
        <v>615.12</v>
      </c>
    </row>
    <row r="9" customHeight="1" spans="1:9">
      <c r="A9" s="13"/>
      <c r="B9" s="14"/>
      <c r="C9" s="30"/>
      <c r="D9" s="15"/>
      <c r="E9" s="14"/>
      <c r="F9" s="14" t="s">
        <v>161</v>
      </c>
      <c r="G9" s="16">
        <v>41597</v>
      </c>
      <c r="H9" s="16">
        <v>0.21</v>
      </c>
      <c r="I9" s="16">
        <f t="shared" si="0"/>
        <v>8735.37</v>
      </c>
    </row>
    <row r="10" customHeight="1" spans="1:9">
      <c r="A10" s="13"/>
      <c r="B10" s="14"/>
      <c r="C10" s="30"/>
      <c r="D10" s="15"/>
      <c r="E10" s="14"/>
      <c r="F10" s="16" t="s">
        <v>15</v>
      </c>
      <c r="G10" s="16">
        <v>41597</v>
      </c>
      <c r="H10" s="16">
        <v>0.08</v>
      </c>
      <c r="I10" s="16">
        <f t="shared" si="0"/>
        <v>3327.76</v>
      </c>
    </row>
    <row r="11" customHeight="1" spans="1:9">
      <c r="A11" s="13"/>
      <c r="B11" s="14"/>
      <c r="C11" s="30"/>
      <c r="D11" s="15"/>
      <c r="E11" s="14"/>
      <c r="F11" s="14" t="s">
        <v>154</v>
      </c>
      <c r="G11" s="16">
        <f>161+232+223+161+232+223+161+232+223+161+232+223+161+232+223+161+232+223+161+232+223+161+232+223+161+232+223+80+116+279+201+290+111+201+290+279</f>
        <v>7391</v>
      </c>
      <c r="H11" s="25">
        <v>0.2</v>
      </c>
      <c r="I11" s="16">
        <f t="shared" si="0"/>
        <v>1478.2</v>
      </c>
    </row>
    <row r="12" customHeight="1" spans="1:9">
      <c r="A12" s="13"/>
      <c r="B12" s="14"/>
      <c r="C12" s="30"/>
      <c r="D12" s="15"/>
      <c r="E12" s="14"/>
      <c r="F12" s="16" t="s">
        <v>16</v>
      </c>
      <c r="G12" s="16">
        <f>76851*4</f>
        <v>307404</v>
      </c>
      <c r="H12" s="25">
        <v>0.04</v>
      </c>
      <c r="I12" s="16">
        <f t="shared" si="0"/>
        <v>12296.16</v>
      </c>
    </row>
    <row r="13" customHeight="1" spans="1:9">
      <c r="A13" s="13"/>
      <c r="B13" s="14"/>
      <c r="C13" s="30"/>
      <c r="D13" s="15"/>
      <c r="E13" s="14"/>
      <c r="F13" s="16" t="s">
        <v>436</v>
      </c>
      <c r="G13" s="16">
        <f>58346*4</f>
        <v>233384</v>
      </c>
      <c r="H13" s="25">
        <v>0.04</v>
      </c>
      <c r="I13" s="16">
        <f t="shared" si="0"/>
        <v>9335.36</v>
      </c>
    </row>
    <row r="14" customHeight="1" spans="1:9">
      <c r="A14" s="13"/>
      <c r="B14" s="14"/>
      <c r="C14" s="30"/>
      <c r="D14" s="15"/>
      <c r="E14" s="14"/>
      <c r="F14" s="14" t="s">
        <v>17</v>
      </c>
      <c r="G14" s="16">
        <v>74257</v>
      </c>
      <c r="H14" s="25">
        <v>0.12</v>
      </c>
      <c r="I14" s="16">
        <f t="shared" si="0"/>
        <v>8910.84</v>
      </c>
    </row>
    <row r="15" customHeight="1" spans="1:9">
      <c r="A15" s="13"/>
      <c r="B15" s="14"/>
      <c r="C15" s="30"/>
      <c r="D15" s="15"/>
      <c r="E15" s="14"/>
      <c r="F15" s="14" t="s">
        <v>17</v>
      </c>
      <c r="G15" s="16">
        <v>66451</v>
      </c>
      <c r="H15" s="25">
        <v>0.12</v>
      </c>
      <c r="I15" s="16">
        <f t="shared" si="0"/>
        <v>7974.12</v>
      </c>
    </row>
    <row r="16" customHeight="1" spans="1:9">
      <c r="A16" s="13"/>
      <c r="B16" s="14"/>
      <c r="C16" s="30"/>
      <c r="D16" s="15"/>
      <c r="E16" s="14"/>
      <c r="F16" s="16" t="s">
        <v>365</v>
      </c>
      <c r="G16" s="17">
        <v>74257</v>
      </c>
      <c r="H16" s="29">
        <v>0.58</v>
      </c>
      <c r="I16" s="16">
        <f t="shared" si="0"/>
        <v>43069.06</v>
      </c>
    </row>
    <row r="17" customHeight="1" spans="1:9">
      <c r="A17" s="13"/>
      <c r="B17" s="14"/>
      <c r="C17" s="30"/>
      <c r="D17" s="15"/>
      <c r="E17" s="14"/>
      <c r="F17" s="14" t="s">
        <v>325</v>
      </c>
      <c r="G17" s="17">
        <f>3*6*10+10</f>
        <v>190</v>
      </c>
      <c r="H17" s="29">
        <v>0</v>
      </c>
      <c r="I17" s="16">
        <f t="shared" si="0"/>
        <v>0</v>
      </c>
    </row>
    <row r="18" customHeight="1" spans="1:9">
      <c r="A18" s="13"/>
      <c r="B18" s="14"/>
      <c r="C18" s="30"/>
      <c r="D18" s="15"/>
      <c r="E18" s="14"/>
      <c r="F18" s="16" t="s">
        <v>259</v>
      </c>
      <c r="G18" s="17">
        <v>7689</v>
      </c>
      <c r="H18" s="29">
        <v>0.58</v>
      </c>
      <c r="I18" s="16">
        <f t="shared" si="0"/>
        <v>4459.62</v>
      </c>
    </row>
    <row r="19" customHeight="1" spans="1:9">
      <c r="A19" s="13"/>
      <c r="B19" s="14"/>
      <c r="C19" s="30"/>
      <c r="D19" s="15"/>
      <c r="E19" s="14"/>
      <c r="F19" s="16" t="s">
        <v>259</v>
      </c>
      <c r="G19" s="17">
        <v>58763</v>
      </c>
      <c r="H19" s="29">
        <v>0.58</v>
      </c>
      <c r="I19" s="16">
        <f t="shared" si="0"/>
        <v>34082.54</v>
      </c>
    </row>
    <row r="20" customHeight="1" spans="1:9">
      <c r="A20" s="13">
        <v>45854</v>
      </c>
      <c r="B20" s="14" t="s">
        <v>10</v>
      </c>
      <c r="C20" s="14">
        <v>83703</v>
      </c>
      <c r="D20" s="15" t="s">
        <v>437</v>
      </c>
      <c r="E20" s="14" t="s">
        <v>438</v>
      </c>
      <c r="F20" s="14" t="s">
        <v>161</v>
      </c>
      <c r="G20" s="17">
        <v>20800</v>
      </c>
      <c r="H20" s="29">
        <v>0.21</v>
      </c>
      <c r="I20" s="16">
        <f t="shared" si="0"/>
        <v>4368</v>
      </c>
    </row>
    <row r="21" customHeight="1" spans="1:9">
      <c r="A21" s="13"/>
      <c r="B21" s="14"/>
      <c r="C21" s="14"/>
      <c r="D21" s="15"/>
      <c r="E21" s="14"/>
      <c r="F21" s="16" t="s">
        <v>15</v>
      </c>
      <c r="G21" s="17">
        <v>20800</v>
      </c>
      <c r="H21" s="29">
        <v>0.08</v>
      </c>
      <c r="I21" s="16">
        <f t="shared" si="0"/>
        <v>1664</v>
      </c>
    </row>
    <row r="22" customHeight="1" spans="1:9">
      <c r="A22" s="13"/>
      <c r="B22" s="14"/>
      <c r="C22" s="14"/>
      <c r="D22" s="15"/>
      <c r="E22" s="14"/>
      <c r="F22" s="16" t="s">
        <v>16</v>
      </c>
      <c r="G22" s="17">
        <f>20800*4</f>
        <v>83200</v>
      </c>
      <c r="H22" s="29">
        <v>0.04</v>
      </c>
      <c r="I22" s="16">
        <f t="shared" si="0"/>
        <v>3328</v>
      </c>
    </row>
    <row r="23" customHeight="1" spans="1:9">
      <c r="A23" s="13"/>
      <c r="B23" s="14"/>
      <c r="C23" s="14"/>
      <c r="D23" s="15"/>
      <c r="E23" s="14"/>
      <c r="F23" s="16" t="s">
        <v>439</v>
      </c>
      <c r="G23" s="17">
        <v>20800</v>
      </c>
      <c r="H23" s="29">
        <v>0.027</v>
      </c>
      <c r="I23" s="16">
        <f t="shared" si="0"/>
        <v>561.6</v>
      </c>
    </row>
    <row r="24" customHeight="1" spans="1:9">
      <c r="A24" s="13"/>
      <c r="B24" s="14"/>
      <c r="C24" s="14"/>
      <c r="D24" s="15"/>
      <c r="E24" s="14"/>
      <c r="F24" s="14" t="s">
        <v>440</v>
      </c>
      <c r="G24" s="17">
        <v>20800</v>
      </c>
      <c r="H24" s="29">
        <v>0.85</v>
      </c>
      <c r="I24" s="16">
        <f t="shared" si="0"/>
        <v>17680</v>
      </c>
    </row>
    <row r="25" customHeight="1" spans="1:9">
      <c r="A25" s="13"/>
      <c r="B25" s="14"/>
      <c r="C25" s="14"/>
      <c r="D25" s="15"/>
      <c r="E25" s="14"/>
      <c r="F25" s="14" t="s">
        <v>441</v>
      </c>
      <c r="G25" s="17">
        <f>20800*0.01</f>
        <v>208</v>
      </c>
      <c r="H25" s="29">
        <v>0</v>
      </c>
      <c r="I25" s="16">
        <f t="shared" si="0"/>
        <v>0</v>
      </c>
    </row>
    <row r="26" customHeight="1" spans="1:9">
      <c r="A26" s="13"/>
      <c r="B26" s="14"/>
      <c r="C26" s="14"/>
      <c r="D26" s="15"/>
      <c r="E26" s="14"/>
      <c r="F26" s="16" t="s">
        <v>442</v>
      </c>
      <c r="G26" s="17">
        <f>7*20</f>
        <v>140</v>
      </c>
      <c r="H26" s="29">
        <v>0</v>
      </c>
      <c r="I26" s="16">
        <f t="shared" si="0"/>
        <v>0</v>
      </c>
    </row>
    <row r="27" customHeight="1" spans="1:9">
      <c r="A27" s="13">
        <v>45854</v>
      </c>
      <c r="B27" s="14" t="s">
        <v>10</v>
      </c>
      <c r="C27" s="14">
        <v>85184</v>
      </c>
      <c r="D27" s="15" t="s">
        <v>443</v>
      </c>
      <c r="E27" s="14" t="s">
        <v>444</v>
      </c>
      <c r="F27" s="14" t="s">
        <v>161</v>
      </c>
      <c r="G27" s="16">
        <v>5512</v>
      </c>
      <c r="H27" s="25">
        <v>0.21</v>
      </c>
      <c r="I27" s="16">
        <f t="shared" si="0"/>
        <v>1157.52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5512</v>
      </c>
      <c r="H28" s="25">
        <v>0.08</v>
      </c>
      <c r="I28" s="16">
        <f t="shared" si="0"/>
        <v>440.96</v>
      </c>
    </row>
    <row r="29" customHeight="1" spans="1:9">
      <c r="A29" s="13"/>
      <c r="B29" s="14"/>
      <c r="C29" s="14"/>
      <c r="D29" s="15"/>
      <c r="E29" s="14"/>
      <c r="F29" s="16" t="s">
        <v>16</v>
      </c>
      <c r="G29" s="16">
        <f>5512*4</f>
        <v>22048</v>
      </c>
      <c r="H29" s="25">
        <v>0.04</v>
      </c>
      <c r="I29" s="16">
        <f t="shared" si="0"/>
        <v>881.92</v>
      </c>
    </row>
    <row r="30" customHeight="1" spans="1:9">
      <c r="A30" s="19">
        <v>45867</v>
      </c>
      <c r="B30" s="20" t="s">
        <v>10</v>
      </c>
      <c r="C30" s="14">
        <v>86669</v>
      </c>
      <c r="D30" s="22" t="s">
        <v>445</v>
      </c>
      <c r="E30" s="21" t="s">
        <v>446</v>
      </c>
      <c r="F30" s="14" t="s">
        <v>161</v>
      </c>
      <c r="G30" s="17">
        <v>13651</v>
      </c>
      <c r="H30" s="29">
        <v>0.21</v>
      </c>
      <c r="I30" s="16">
        <f t="shared" si="0"/>
        <v>2866.71</v>
      </c>
    </row>
    <row r="31" customHeight="1" spans="1:9">
      <c r="A31" s="19"/>
      <c r="B31" s="20"/>
      <c r="C31" s="14"/>
      <c r="D31" s="22"/>
      <c r="E31" s="20"/>
      <c r="F31" s="17" t="s">
        <v>15</v>
      </c>
      <c r="G31" s="17">
        <v>13651</v>
      </c>
      <c r="H31" s="29">
        <v>0.08</v>
      </c>
      <c r="I31" s="16">
        <f t="shared" si="0"/>
        <v>1092.08</v>
      </c>
    </row>
    <row r="32" ht="28" spans="1:9">
      <c r="A32" s="19"/>
      <c r="B32" s="20"/>
      <c r="C32" s="14"/>
      <c r="D32" s="22"/>
      <c r="E32" s="20"/>
      <c r="F32" s="14" t="s">
        <v>287</v>
      </c>
      <c r="G32" s="16">
        <v>13651</v>
      </c>
      <c r="H32" s="25">
        <v>0.08</v>
      </c>
      <c r="I32" s="16">
        <f t="shared" si="0"/>
        <v>1092.08</v>
      </c>
    </row>
    <row r="33" customHeight="1" spans="1:9">
      <c r="A33" s="19"/>
      <c r="B33" s="20"/>
      <c r="C33" s="14"/>
      <c r="D33" s="22"/>
      <c r="E33" s="20"/>
      <c r="F33" s="14" t="s">
        <v>288</v>
      </c>
      <c r="G33" s="16">
        <f>G32*5</f>
        <v>68255</v>
      </c>
      <c r="H33" s="25">
        <v>0.04</v>
      </c>
      <c r="I33" s="16">
        <f t="shared" si="0"/>
        <v>2730.2</v>
      </c>
    </row>
    <row r="34" customHeight="1" spans="1:9">
      <c r="A34" s="19"/>
      <c r="B34" s="20"/>
      <c r="C34" s="14"/>
      <c r="D34" s="22"/>
      <c r="E34" s="20"/>
      <c r="F34" s="14" t="s">
        <v>259</v>
      </c>
      <c r="G34" s="16">
        <v>13651</v>
      </c>
      <c r="H34" s="25">
        <v>0.58</v>
      </c>
      <c r="I34" s="16">
        <f t="shared" si="0"/>
        <v>7917.58</v>
      </c>
    </row>
    <row r="35" customHeight="1" spans="1:9">
      <c r="A35" s="19"/>
      <c r="B35" s="20"/>
      <c r="C35" s="14"/>
      <c r="D35" s="22"/>
      <c r="E35" s="20"/>
      <c r="F35" s="17" t="s">
        <v>325</v>
      </c>
      <c r="G35" s="17">
        <f>2*10*4+10</f>
        <v>90</v>
      </c>
      <c r="H35" s="29">
        <v>0</v>
      </c>
      <c r="I35" s="16">
        <f t="shared" si="0"/>
        <v>0</v>
      </c>
    </row>
    <row r="36" customHeight="1" spans="1:9">
      <c r="A36" s="19">
        <v>45868</v>
      </c>
      <c r="B36" s="17" t="s">
        <v>10</v>
      </c>
      <c r="C36" s="21"/>
      <c r="D36" s="47" t="s">
        <v>447</v>
      </c>
      <c r="E36" s="20" t="s">
        <v>244</v>
      </c>
      <c r="F36" s="17" t="s">
        <v>448</v>
      </c>
      <c r="G36" s="17">
        <v>1</v>
      </c>
      <c r="H36" s="29">
        <v>21000</v>
      </c>
      <c r="I36" s="16">
        <f t="shared" si="0"/>
        <v>21000</v>
      </c>
    </row>
    <row r="37" customHeight="1" spans="1:9">
      <c r="A37" s="13">
        <v>45869</v>
      </c>
      <c r="B37" s="14" t="s">
        <v>10</v>
      </c>
      <c r="C37" s="14" t="s">
        <v>449</v>
      </c>
      <c r="D37" s="15" t="s">
        <v>450</v>
      </c>
      <c r="E37" s="14" t="s">
        <v>451</v>
      </c>
      <c r="F37" s="14" t="s">
        <v>14</v>
      </c>
      <c r="G37" s="16">
        <v>36393</v>
      </c>
      <c r="H37" s="25">
        <v>0.21</v>
      </c>
      <c r="I37" s="16">
        <f t="shared" si="0"/>
        <v>7642.53</v>
      </c>
    </row>
    <row r="38" customHeight="1" spans="1:9">
      <c r="A38" s="13"/>
      <c r="B38" s="14"/>
      <c r="C38" s="14"/>
      <c r="D38" s="15"/>
      <c r="E38" s="14"/>
      <c r="F38" s="16" t="s">
        <v>15</v>
      </c>
      <c r="G38" s="16">
        <v>36393</v>
      </c>
      <c r="H38" s="25">
        <v>0.08</v>
      </c>
      <c r="I38" s="16">
        <f t="shared" si="0"/>
        <v>2911.44</v>
      </c>
    </row>
    <row r="39" customHeight="1" spans="1:9">
      <c r="A39" s="13"/>
      <c r="B39" s="14"/>
      <c r="C39" s="14"/>
      <c r="D39" s="15"/>
      <c r="E39" s="14"/>
      <c r="F39" s="16" t="s">
        <v>25</v>
      </c>
      <c r="G39" s="16">
        <f>36393*5</f>
        <v>181965</v>
      </c>
      <c r="H39" s="25">
        <v>0.04</v>
      </c>
      <c r="I39" s="16">
        <f t="shared" si="0"/>
        <v>7278.6</v>
      </c>
    </row>
    <row r="40" customHeight="1" spans="1:9">
      <c r="A40" s="13"/>
      <c r="B40" s="14"/>
      <c r="C40" s="14"/>
      <c r="D40" s="15"/>
      <c r="E40" s="14"/>
      <c r="F40" s="14" t="s">
        <v>17</v>
      </c>
      <c r="G40" s="16">
        <v>36393</v>
      </c>
      <c r="H40" s="25">
        <v>0.12</v>
      </c>
      <c r="I40" s="16">
        <f t="shared" si="0"/>
        <v>4367.16</v>
      </c>
    </row>
    <row r="41" customHeight="1" spans="1:9">
      <c r="A41" s="19">
        <v>45869</v>
      </c>
      <c r="B41" s="20" t="s">
        <v>10</v>
      </c>
      <c r="C41" s="30" t="s">
        <v>452</v>
      </c>
      <c r="D41" s="22" t="s">
        <v>453</v>
      </c>
      <c r="E41" s="28" t="s">
        <v>454</v>
      </c>
      <c r="F41" s="23" t="s">
        <v>455</v>
      </c>
      <c r="G41" s="29">
        <v>18117</v>
      </c>
      <c r="H41" s="29">
        <v>0.21</v>
      </c>
      <c r="I41" s="29">
        <f t="shared" si="0"/>
        <v>3804.57</v>
      </c>
    </row>
    <row r="42" customHeight="1" spans="1:9">
      <c r="A42" s="19"/>
      <c r="B42" s="20"/>
      <c r="C42" s="30"/>
      <c r="D42" s="22"/>
      <c r="E42" s="26"/>
      <c r="F42" s="25" t="s">
        <v>15</v>
      </c>
      <c r="G42" s="29">
        <v>18117</v>
      </c>
      <c r="H42" s="29">
        <v>0.08</v>
      </c>
      <c r="I42" s="29">
        <f t="shared" si="0"/>
        <v>1449.36</v>
      </c>
    </row>
    <row r="43" customHeight="1" spans="1:9">
      <c r="A43" s="19"/>
      <c r="B43" s="20"/>
      <c r="C43" s="30"/>
      <c r="D43" s="22"/>
      <c r="E43" s="26"/>
      <c r="F43" s="23" t="s">
        <v>14</v>
      </c>
      <c r="G43" s="29">
        <v>27761</v>
      </c>
      <c r="H43" s="29">
        <v>0.21</v>
      </c>
      <c r="I43" s="29">
        <f t="shared" si="0"/>
        <v>5829.81</v>
      </c>
    </row>
    <row r="44" customHeight="1" spans="1:9">
      <c r="A44" s="19"/>
      <c r="B44" s="20"/>
      <c r="C44" s="30"/>
      <c r="D44" s="22"/>
      <c r="E44" s="26"/>
      <c r="F44" s="25" t="s">
        <v>15</v>
      </c>
      <c r="G44" s="29">
        <v>27761</v>
      </c>
      <c r="H44" s="29">
        <v>0.08</v>
      </c>
      <c r="I44" s="29">
        <f t="shared" si="0"/>
        <v>2220.88</v>
      </c>
    </row>
    <row r="45" customHeight="1" spans="1:9">
      <c r="A45" s="19"/>
      <c r="B45" s="20"/>
      <c r="C45" s="30"/>
      <c r="D45" s="22"/>
      <c r="E45" s="26"/>
      <c r="F45" s="25" t="s">
        <v>25</v>
      </c>
      <c r="G45" s="29">
        <f>45878*5</f>
        <v>229390</v>
      </c>
      <c r="H45" s="29">
        <v>0.04</v>
      </c>
      <c r="I45" s="29">
        <f t="shared" si="0"/>
        <v>9175.6</v>
      </c>
    </row>
    <row r="46" customHeight="1" spans="1:9">
      <c r="A46" s="19"/>
      <c r="B46" s="20"/>
      <c r="C46" s="30"/>
      <c r="D46" s="22"/>
      <c r="E46" s="26"/>
      <c r="F46" s="23" t="s">
        <v>57</v>
      </c>
      <c r="G46" s="29">
        <v>45878</v>
      </c>
      <c r="H46" s="29">
        <v>0.24</v>
      </c>
      <c r="I46" s="29">
        <f t="shared" si="0"/>
        <v>11010.72</v>
      </c>
    </row>
    <row r="47" customHeight="1" spans="1:9">
      <c r="A47" s="19">
        <v>45874</v>
      </c>
      <c r="B47" s="20" t="s">
        <v>10</v>
      </c>
      <c r="C47" s="14">
        <v>86169</v>
      </c>
      <c r="D47" s="22" t="s">
        <v>456</v>
      </c>
      <c r="E47" s="21" t="s">
        <v>457</v>
      </c>
      <c r="F47" s="14" t="s">
        <v>161</v>
      </c>
      <c r="G47" s="17">
        <v>5720</v>
      </c>
      <c r="H47" s="29">
        <v>0.21</v>
      </c>
      <c r="I47" s="16">
        <f t="shared" si="0"/>
        <v>1201.2</v>
      </c>
    </row>
    <row r="48" customHeight="1" spans="1:9">
      <c r="A48" s="19"/>
      <c r="B48" s="20"/>
      <c r="C48" s="14"/>
      <c r="D48" s="22"/>
      <c r="E48" s="20"/>
      <c r="F48" s="17" t="s">
        <v>15</v>
      </c>
      <c r="G48" s="17">
        <v>5720</v>
      </c>
      <c r="H48" s="29">
        <v>0.08</v>
      </c>
      <c r="I48" s="16">
        <f t="shared" si="0"/>
        <v>457.6</v>
      </c>
    </row>
    <row r="49" customHeight="1" spans="1:9">
      <c r="A49" s="19"/>
      <c r="B49" s="20"/>
      <c r="C49" s="14"/>
      <c r="D49" s="22"/>
      <c r="E49" s="20"/>
      <c r="F49" s="14" t="s">
        <v>193</v>
      </c>
      <c r="G49" s="16">
        <v>5720</v>
      </c>
      <c r="H49" s="25">
        <v>0.19</v>
      </c>
      <c r="I49" s="16">
        <f t="shared" si="0"/>
        <v>1086.8</v>
      </c>
    </row>
    <row r="50" customHeight="1" spans="1:9">
      <c r="A50" s="19"/>
      <c r="B50" s="20"/>
      <c r="C50" s="14"/>
      <c r="D50" s="22"/>
      <c r="E50" s="20"/>
      <c r="F50" s="14" t="s">
        <v>377</v>
      </c>
      <c r="G50" s="16">
        <f>G49*4</f>
        <v>22880</v>
      </c>
      <c r="H50" s="25">
        <v>0.04</v>
      </c>
      <c r="I50" s="16">
        <f t="shared" si="0"/>
        <v>915.2</v>
      </c>
    </row>
    <row r="51" customHeight="1" spans="1:9">
      <c r="A51" s="19"/>
      <c r="B51" s="20"/>
      <c r="C51" s="14"/>
      <c r="D51" s="22"/>
      <c r="E51" s="20"/>
      <c r="F51" s="14" t="s">
        <v>259</v>
      </c>
      <c r="G51" s="16">
        <v>5720</v>
      </c>
      <c r="H51" s="25">
        <v>0.58</v>
      </c>
      <c r="I51" s="16">
        <f t="shared" si="0"/>
        <v>3317.6</v>
      </c>
    </row>
    <row r="52" customHeight="1" spans="1:9">
      <c r="A52" s="19"/>
      <c r="B52" s="20"/>
      <c r="C52" s="14"/>
      <c r="D52" s="22"/>
      <c r="E52" s="20"/>
      <c r="F52" s="17" t="s">
        <v>325</v>
      </c>
      <c r="G52" s="17">
        <f>5*10+10</f>
        <v>60</v>
      </c>
      <c r="H52" s="29">
        <v>0</v>
      </c>
      <c r="I52" s="16">
        <f t="shared" si="0"/>
        <v>0</v>
      </c>
    </row>
    <row r="53" customHeight="1" spans="1:9">
      <c r="A53" s="13">
        <v>45876</v>
      </c>
      <c r="B53" s="14" t="s">
        <v>10</v>
      </c>
      <c r="C53" s="14">
        <v>87601</v>
      </c>
      <c r="D53" s="15" t="s">
        <v>458</v>
      </c>
      <c r="E53" s="14" t="s">
        <v>459</v>
      </c>
      <c r="F53" s="14" t="s">
        <v>14</v>
      </c>
      <c r="G53" s="16">
        <v>20800</v>
      </c>
      <c r="H53" s="25">
        <v>0.21</v>
      </c>
      <c r="I53" s="16">
        <f t="shared" si="0"/>
        <v>4368</v>
      </c>
    </row>
    <row r="54" customHeight="1" spans="1:9">
      <c r="A54" s="13"/>
      <c r="B54" s="14"/>
      <c r="C54" s="14"/>
      <c r="D54" s="15"/>
      <c r="E54" s="14"/>
      <c r="F54" s="16" t="s">
        <v>15</v>
      </c>
      <c r="G54" s="16">
        <v>20800</v>
      </c>
      <c r="H54" s="25">
        <v>0.08</v>
      </c>
      <c r="I54" s="16">
        <f t="shared" si="0"/>
        <v>1664</v>
      </c>
    </row>
    <row r="55" customHeight="1" spans="1:9">
      <c r="A55" s="13"/>
      <c r="B55" s="14"/>
      <c r="C55" s="14"/>
      <c r="D55" s="15"/>
      <c r="E55" s="14"/>
      <c r="F55" s="16" t="s">
        <v>28</v>
      </c>
      <c r="G55" s="16">
        <f>20800*4</f>
        <v>83200</v>
      </c>
      <c r="H55" s="16">
        <v>0.04</v>
      </c>
      <c r="I55" s="16">
        <f t="shared" si="0"/>
        <v>3328</v>
      </c>
    </row>
    <row r="56" customHeight="1" spans="1:9">
      <c r="A56" s="13"/>
      <c r="B56" s="14"/>
      <c r="C56" s="14"/>
      <c r="D56" s="15"/>
      <c r="E56" s="14"/>
      <c r="F56" s="14" t="s">
        <v>17</v>
      </c>
      <c r="G56" s="16">
        <v>20800</v>
      </c>
      <c r="H56" s="16">
        <v>0.12</v>
      </c>
      <c r="I56" s="16">
        <f t="shared" si="0"/>
        <v>2496</v>
      </c>
    </row>
    <row r="57" ht="42" spans="1:9">
      <c r="A57" s="13">
        <v>45879</v>
      </c>
      <c r="B57" s="14" t="s">
        <v>10</v>
      </c>
      <c r="C57" s="30">
        <v>87613</v>
      </c>
      <c r="D57" s="15" t="s">
        <v>460</v>
      </c>
      <c r="E57" s="14" t="s">
        <v>461</v>
      </c>
      <c r="F57" s="16" t="s">
        <v>462</v>
      </c>
      <c r="G57" s="16">
        <f>8680*2</f>
        <v>17360</v>
      </c>
      <c r="H57" s="16">
        <v>0.04</v>
      </c>
      <c r="I57" s="16">
        <f t="shared" si="0"/>
        <v>694.4</v>
      </c>
    </row>
    <row r="58" customHeight="1" spans="1:9">
      <c r="A58" s="19">
        <v>45881</v>
      </c>
      <c r="B58" s="20" t="s">
        <v>10</v>
      </c>
      <c r="C58" s="30">
        <v>87613</v>
      </c>
      <c r="D58" s="22" t="s">
        <v>463</v>
      </c>
      <c r="E58" s="21" t="s">
        <v>464</v>
      </c>
      <c r="F58" s="14" t="s">
        <v>14</v>
      </c>
      <c r="G58" s="17">
        <v>11359</v>
      </c>
      <c r="H58" s="17">
        <v>0.21</v>
      </c>
      <c r="I58" s="16">
        <f t="shared" si="0"/>
        <v>2385.39</v>
      </c>
    </row>
    <row r="59" customHeight="1" spans="1:9">
      <c r="A59" s="19"/>
      <c r="B59" s="20"/>
      <c r="C59" s="30"/>
      <c r="D59" s="22"/>
      <c r="E59" s="20"/>
      <c r="F59" s="16" t="s">
        <v>15</v>
      </c>
      <c r="G59" s="29">
        <v>11359</v>
      </c>
      <c r="H59" s="29">
        <v>0.08</v>
      </c>
      <c r="I59" s="16">
        <f t="shared" si="0"/>
        <v>908.72</v>
      </c>
    </row>
    <row r="60" customHeight="1" spans="1:9">
      <c r="A60" s="19"/>
      <c r="B60" s="20"/>
      <c r="C60" s="30"/>
      <c r="D60" s="22"/>
      <c r="E60" s="20"/>
      <c r="F60" s="16" t="s">
        <v>63</v>
      </c>
      <c r="G60" s="29">
        <f>11359*5</f>
        <v>56795</v>
      </c>
      <c r="H60" s="29">
        <v>0.04</v>
      </c>
      <c r="I60" s="16">
        <f t="shared" si="0"/>
        <v>2271.8</v>
      </c>
    </row>
    <row r="61" customHeight="1" spans="1:9">
      <c r="A61" s="19"/>
      <c r="B61" s="20"/>
      <c r="C61" s="30"/>
      <c r="D61" s="22"/>
      <c r="E61" s="20"/>
      <c r="F61" s="14" t="s">
        <v>57</v>
      </c>
      <c r="G61" s="29">
        <v>11359</v>
      </c>
      <c r="H61" s="29">
        <v>0.24</v>
      </c>
      <c r="I61" s="16">
        <f t="shared" si="0"/>
        <v>2726.16</v>
      </c>
    </row>
    <row r="62" customHeight="1" spans="1:9">
      <c r="A62" s="19">
        <v>45881</v>
      </c>
      <c r="B62" s="20" t="s">
        <v>10</v>
      </c>
      <c r="C62" s="14" t="s">
        <v>244</v>
      </c>
      <c r="D62" s="22" t="s">
        <v>465</v>
      </c>
      <c r="E62" s="21" t="s">
        <v>466</v>
      </c>
      <c r="F62" s="14" t="s">
        <v>14</v>
      </c>
      <c r="G62" s="29">
        <v>3038</v>
      </c>
      <c r="H62" s="29">
        <v>0.21</v>
      </c>
      <c r="I62" s="16">
        <f t="shared" si="0"/>
        <v>637.98</v>
      </c>
    </row>
    <row r="63" customHeight="1" spans="1:9">
      <c r="A63" s="19">
        <v>45883</v>
      </c>
      <c r="B63" s="20" t="s">
        <v>10</v>
      </c>
      <c r="C63" s="30" t="s">
        <v>467</v>
      </c>
      <c r="D63" s="22" t="s">
        <v>468</v>
      </c>
      <c r="E63" s="21" t="s">
        <v>469</v>
      </c>
      <c r="F63" s="14" t="s">
        <v>14</v>
      </c>
      <c r="G63" s="29">
        <v>15143</v>
      </c>
      <c r="H63" s="29">
        <v>0.21</v>
      </c>
      <c r="I63" s="16">
        <f t="shared" si="0"/>
        <v>3180.03</v>
      </c>
    </row>
    <row r="64" customHeight="1" spans="1:9">
      <c r="A64" s="19"/>
      <c r="B64" s="20"/>
      <c r="C64" s="30"/>
      <c r="D64" s="22"/>
      <c r="E64" s="20"/>
      <c r="F64" s="16" t="s">
        <v>15</v>
      </c>
      <c r="G64" s="29">
        <v>15143</v>
      </c>
      <c r="H64" s="29">
        <v>0.08</v>
      </c>
      <c r="I64" s="16">
        <f t="shared" si="0"/>
        <v>1211.44</v>
      </c>
    </row>
    <row r="65" customHeight="1" spans="1:9">
      <c r="A65" s="19"/>
      <c r="B65" s="20"/>
      <c r="C65" s="30"/>
      <c r="D65" s="22"/>
      <c r="E65" s="20"/>
      <c r="F65" s="16" t="s">
        <v>63</v>
      </c>
      <c r="G65" s="17">
        <f>15143*5</f>
        <v>75715</v>
      </c>
      <c r="H65" s="17">
        <v>0.04</v>
      </c>
      <c r="I65" s="16">
        <f t="shared" si="0"/>
        <v>3028.6</v>
      </c>
    </row>
    <row r="66" customHeight="1" spans="1:9">
      <c r="A66" s="19"/>
      <c r="B66" s="20"/>
      <c r="C66" s="30"/>
      <c r="D66" s="22"/>
      <c r="E66" s="20"/>
      <c r="F66" s="14" t="s">
        <v>57</v>
      </c>
      <c r="G66" s="17">
        <v>15143</v>
      </c>
      <c r="H66" s="17">
        <v>0.24</v>
      </c>
      <c r="I66" s="16">
        <f t="shared" si="0"/>
        <v>3634.32</v>
      </c>
    </row>
    <row r="67" customHeight="1" spans="1:9">
      <c r="A67" s="13">
        <v>45883</v>
      </c>
      <c r="B67" s="14" t="s">
        <v>10</v>
      </c>
      <c r="C67" s="14">
        <v>88115</v>
      </c>
      <c r="D67" s="15" t="s">
        <v>470</v>
      </c>
      <c r="E67" s="14" t="s">
        <v>471</v>
      </c>
      <c r="F67" s="14" t="s">
        <v>14</v>
      </c>
      <c r="G67" s="16">
        <v>4000</v>
      </c>
      <c r="H67" s="16">
        <v>0.21</v>
      </c>
      <c r="I67" s="16">
        <f>G67*H67</f>
        <v>840</v>
      </c>
    </row>
    <row r="68" customHeight="1" spans="1:9">
      <c r="A68" s="13"/>
      <c r="B68" s="14"/>
      <c r="C68" s="14"/>
      <c r="D68" s="15"/>
      <c r="E68" s="14"/>
      <c r="F68" s="16" t="s">
        <v>15</v>
      </c>
      <c r="G68" s="16">
        <v>4000</v>
      </c>
      <c r="H68" s="16">
        <v>0.08</v>
      </c>
      <c r="I68" s="16">
        <f>G68*H68</f>
        <v>320</v>
      </c>
    </row>
    <row r="69" customHeight="1" spans="1:9">
      <c r="A69" s="13"/>
      <c r="B69" s="14"/>
      <c r="C69" s="14"/>
      <c r="D69" s="15"/>
      <c r="E69" s="14"/>
      <c r="F69" s="16" t="s">
        <v>28</v>
      </c>
      <c r="G69" s="16">
        <f>4000*4</f>
        <v>16000</v>
      </c>
      <c r="H69" s="16">
        <v>0.04</v>
      </c>
      <c r="I69" s="16">
        <f>G69*H69</f>
        <v>640</v>
      </c>
    </row>
    <row r="70" customHeight="1" spans="1:9">
      <c r="A70" s="13"/>
      <c r="B70" s="14"/>
      <c r="C70" s="14"/>
      <c r="D70" s="15"/>
      <c r="E70" s="14"/>
      <c r="F70" s="14" t="s">
        <v>17</v>
      </c>
      <c r="G70" s="16">
        <v>4000</v>
      </c>
      <c r="H70" s="16">
        <v>0.12</v>
      </c>
      <c r="I70" s="16">
        <f>G70*H70</f>
        <v>480</v>
      </c>
    </row>
    <row r="71" customHeight="1" spans="1:9">
      <c r="I71" s="97">
        <f>SUM(I3:I70)</f>
        <v>325077.59</v>
      </c>
    </row>
  </sheetData>
  <autoFilter xmlns:etc="http://www.wps.cn/officeDocument/2017/etCustomData" ref="A1:I71" etc:filterBottomFollowUsedRange="0">
    <extLst/>
  </autoFilter>
  <mergeCells count="56">
    <mergeCell ref="A1:I1"/>
    <mergeCell ref="A3:A19"/>
    <mergeCell ref="A20:A26"/>
    <mergeCell ref="A27:A29"/>
    <mergeCell ref="A30:A35"/>
    <mergeCell ref="A37:A40"/>
    <mergeCell ref="A41:A46"/>
    <mergeCell ref="A47:A52"/>
    <mergeCell ref="A53:A56"/>
    <mergeCell ref="A58:A61"/>
    <mergeCell ref="A63:A66"/>
    <mergeCell ref="A67:A70"/>
    <mergeCell ref="B3:B19"/>
    <mergeCell ref="B20:B26"/>
    <mergeCell ref="B27:B29"/>
    <mergeCell ref="B30:B35"/>
    <mergeCell ref="B37:B40"/>
    <mergeCell ref="B41:B46"/>
    <mergeCell ref="B47:B52"/>
    <mergeCell ref="B53:B56"/>
    <mergeCell ref="B58:B61"/>
    <mergeCell ref="B63:B66"/>
    <mergeCell ref="B67:B70"/>
    <mergeCell ref="C3:C19"/>
    <mergeCell ref="C20:C26"/>
    <mergeCell ref="C27:C29"/>
    <mergeCell ref="C30:C35"/>
    <mergeCell ref="C37:C40"/>
    <mergeCell ref="C41:C46"/>
    <mergeCell ref="C47:C52"/>
    <mergeCell ref="C53:C56"/>
    <mergeCell ref="C58:C61"/>
    <mergeCell ref="C63:C66"/>
    <mergeCell ref="C67:C70"/>
    <mergeCell ref="D3:D19"/>
    <mergeCell ref="D20:D26"/>
    <mergeCell ref="D27:D29"/>
    <mergeCell ref="D30:D35"/>
    <mergeCell ref="D37:D40"/>
    <mergeCell ref="D41:D46"/>
    <mergeCell ref="D47:D52"/>
    <mergeCell ref="D53:D56"/>
    <mergeCell ref="D58:D61"/>
    <mergeCell ref="D63:D66"/>
    <mergeCell ref="D67:D70"/>
    <mergeCell ref="E3:E19"/>
    <mergeCell ref="E20:E26"/>
    <mergeCell ref="E27:E29"/>
    <mergeCell ref="E30:E35"/>
    <mergeCell ref="E37:E40"/>
    <mergeCell ref="E41:E46"/>
    <mergeCell ref="E47:E52"/>
    <mergeCell ref="E53:E56"/>
    <mergeCell ref="E58:E61"/>
    <mergeCell ref="E63:E66"/>
    <mergeCell ref="E67:E7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"/>
  <sheetViews>
    <sheetView workbookViewId="0">
      <selection activeCell="F40" sqref="F40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7272727272727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45846</v>
      </c>
      <c r="B3" s="14" t="s">
        <v>10</v>
      </c>
      <c r="C3" s="14" t="s">
        <v>472</v>
      </c>
      <c r="D3" s="15" t="s">
        <v>473</v>
      </c>
      <c r="E3" s="14" t="s">
        <v>474</v>
      </c>
      <c r="F3" s="14" t="s">
        <v>161</v>
      </c>
      <c r="G3" s="16">
        <v>41602</v>
      </c>
      <c r="H3" s="16">
        <v>0.21</v>
      </c>
      <c r="I3" s="16">
        <f t="shared" ref="I3:I64" si="0">G3*H3</f>
        <v>8736.42</v>
      </c>
    </row>
    <row r="4" customHeight="1" spans="1:9">
      <c r="A4" s="13"/>
      <c r="B4" s="14"/>
      <c r="C4" s="30"/>
      <c r="D4" s="15"/>
      <c r="E4" s="14"/>
      <c r="F4" s="16" t="s">
        <v>15</v>
      </c>
      <c r="G4" s="16">
        <v>41602</v>
      </c>
      <c r="H4" s="16">
        <v>0.08</v>
      </c>
      <c r="I4" s="16">
        <f t="shared" si="0"/>
        <v>3328.16</v>
      </c>
    </row>
    <row r="5" customHeight="1" spans="1:9">
      <c r="A5" s="13"/>
      <c r="B5" s="14"/>
      <c r="C5" s="30"/>
      <c r="D5" s="15"/>
      <c r="E5" s="14"/>
      <c r="F5" s="14" t="s">
        <v>161</v>
      </c>
      <c r="G5" s="16">
        <f>119604-8000</f>
        <v>111604</v>
      </c>
      <c r="H5" s="16">
        <v>0.21</v>
      </c>
      <c r="I5" s="16">
        <f t="shared" si="0"/>
        <v>23436.84</v>
      </c>
    </row>
    <row r="6" customHeight="1" spans="1:9">
      <c r="A6" s="13"/>
      <c r="B6" s="14"/>
      <c r="C6" s="30"/>
      <c r="D6" s="15"/>
      <c r="E6" s="14"/>
      <c r="F6" s="16" t="s">
        <v>15</v>
      </c>
      <c r="G6" s="16">
        <f>119604-8000</f>
        <v>111604</v>
      </c>
      <c r="H6" s="16">
        <v>0.08</v>
      </c>
      <c r="I6" s="16">
        <f t="shared" si="0"/>
        <v>8928.32</v>
      </c>
    </row>
    <row r="7" customHeight="1" spans="1:9">
      <c r="A7" s="13"/>
      <c r="B7" s="14"/>
      <c r="C7" s="30"/>
      <c r="D7" s="15"/>
      <c r="E7" s="14"/>
      <c r="F7" s="14" t="s">
        <v>475</v>
      </c>
      <c r="G7" s="16">
        <v>7090</v>
      </c>
      <c r="H7" s="16">
        <v>0.2</v>
      </c>
      <c r="I7" s="16">
        <f t="shared" si="0"/>
        <v>1418</v>
      </c>
    </row>
    <row r="8" customHeight="1" spans="1:9">
      <c r="A8" s="13"/>
      <c r="B8" s="14"/>
      <c r="C8" s="30"/>
      <c r="D8" s="15"/>
      <c r="E8" s="14"/>
      <c r="F8" s="14" t="s">
        <v>476</v>
      </c>
      <c r="G8" s="16">
        <v>5914</v>
      </c>
      <c r="H8" s="16">
        <v>0.2</v>
      </c>
      <c r="I8" s="16">
        <f t="shared" si="0"/>
        <v>1182.8</v>
      </c>
    </row>
    <row r="9" customHeight="1" spans="1:9">
      <c r="A9" s="13"/>
      <c r="B9" s="14"/>
      <c r="C9" s="30"/>
      <c r="D9" s="15"/>
      <c r="E9" s="14"/>
      <c r="F9" s="16" t="s">
        <v>16</v>
      </c>
      <c r="G9" s="16">
        <f>174726*4</f>
        <v>698904</v>
      </c>
      <c r="H9" s="16">
        <v>0.04</v>
      </c>
      <c r="I9" s="16">
        <f t="shared" si="0"/>
        <v>27956.16</v>
      </c>
    </row>
    <row r="10" customHeight="1" spans="1:9">
      <c r="A10" s="13"/>
      <c r="B10" s="14"/>
      <c r="C10" s="30"/>
      <c r="D10" s="15"/>
      <c r="E10" s="14"/>
      <c r="F10" s="14" t="s">
        <v>109</v>
      </c>
      <c r="G10" s="16">
        <v>161206</v>
      </c>
      <c r="H10" s="16">
        <v>0.08</v>
      </c>
      <c r="I10" s="16">
        <f t="shared" si="0"/>
        <v>12896.48</v>
      </c>
    </row>
    <row r="11" customHeight="1" spans="1:9">
      <c r="A11" s="13"/>
      <c r="B11" s="14"/>
      <c r="C11" s="30"/>
      <c r="D11" s="15"/>
      <c r="E11" s="14"/>
      <c r="F11" s="16" t="s">
        <v>259</v>
      </c>
      <c r="G11" s="17">
        <v>161206</v>
      </c>
      <c r="H11" s="17">
        <v>0.58</v>
      </c>
      <c r="I11" s="16">
        <f t="shared" si="0"/>
        <v>93499.48</v>
      </c>
    </row>
    <row r="12" customHeight="1" spans="1:9">
      <c r="A12" s="13"/>
      <c r="B12" s="14"/>
      <c r="C12" s="30"/>
      <c r="D12" s="15"/>
      <c r="E12" s="14"/>
      <c r="F12" s="14" t="s">
        <v>325</v>
      </c>
      <c r="G12" s="17">
        <f>4*5*10+10</f>
        <v>210</v>
      </c>
      <c r="H12" s="17">
        <v>0</v>
      </c>
      <c r="I12" s="16">
        <f t="shared" si="0"/>
        <v>0</v>
      </c>
    </row>
    <row r="13" customHeight="1" spans="1:9">
      <c r="A13" s="13">
        <v>45883</v>
      </c>
      <c r="B13" s="14" t="s">
        <v>10</v>
      </c>
      <c r="C13" s="30" t="s">
        <v>467</v>
      </c>
      <c r="D13" s="15" t="s">
        <v>477</v>
      </c>
      <c r="E13" s="14" t="s">
        <v>478</v>
      </c>
      <c r="F13" s="14" t="s">
        <v>14</v>
      </c>
      <c r="G13" s="16">
        <v>13101</v>
      </c>
      <c r="H13" s="16">
        <v>0.21</v>
      </c>
      <c r="I13" s="16">
        <f t="shared" si="0"/>
        <v>2751.21</v>
      </c>
    </row>
    <row r="14" customHeight="1" spans="1:9">
      <c r="A14" s="13"/>
      <c r="B14" s="14"/>
      <c r="C14" s="30"/>
      <c r="D14" s="15"/>
      <c r="E14" s="14"/>
      <c r="F14" s="16" t="s">
        <v>15</v>
      </c>
      <c r="G14" s="16">
        <v>13101</v>
      </c>
      <c r="H14" s="16">
        <v>0.08</v>
      </c>
      <c r="I14" s="16">
        <f t="shared" si="0"/>
        <v>1048.08</v>
      </c>
    </row>
    <row r="15" customHeight="1" spans="1:9">
      <c r="A15" s="13"/>
      <c r="B15" s="14"/>
      <c r="C15" s="30"/>
      <c r="D15" s="15"/>
      <c r="E15" s="14"/>
      <c r="F15" s="16" t="s">
        <v>63</v>
      </c>
      <c r="G15" s="16">
        <f>13101*5</f>
        <v>65505</v>
      </c>
      <c r="H15" s="16">
        <v>0.04</v>
      </c>
      <c r="I15" s="16">
        <f t="shared" si="0"/>
        <v>2620.2</v>
      </c>
    </row>
    <row r="16" customHeight="1" spans="1:9">
      <c r="A16" s="13"/>
      <c r="B16" s="14"/>
      <c r="C16" s="30"/>
      <c r="D16" s="15"/>
      <c r="E16" s="14"/>
      <c r="F16" s="14" t="s">
        <v>57</v>
      </c>
      <c r="G16" s="16">
        <v>13101</v>
      </c>
      <c r="H16" s="16">
        <v>0.24</v>
      </c>
      <c r="I16" s="16">
        <f t="shared" si="0"/>
        <v>3144.24</v>
      </c>
    </row>
    <row r="17" customHeight="1" spans="1:9">
      <c r="A17" s="19">
        <v>45892</v>
      </c>
      <c r="B17" s="20" t="s">
        <v>10</v>
      </c>
      <c r="C17" s="14" t="s">
        <v>479</v>
      </c>
      <c r="D17" s="22" t="s">
        <v>480</v>
      </c>
      <c r="E17" s="21" t="s">
        <v>481</v>
      </c>
      <c r="F17" s="14" t="s">
        <v>482</v>
      </c>
      <c r="G17" s="17">
        <v>55717</v>
      </c>
      <c r="H17" s="17">
        <v>0.21</v>
      </c>
      <c r="I17" s="16">
        <f t="shared" si="0"/>
        <v>11700.57</v>
      </c>
    </row>
    <row r="18" customHeight="1" spans="1:9">
      <c r="A18" s="19"/>
      <c r="B18" s="20"/>
      <c r="C18" s="30"/>
      <c r="D18" s="22"/>
      <c r="E18" s="20"/>
      <c r="F18" s="16" t="s">
        <v>15</v>
      </c>
      <c r="G18" s="17">
        <v>55717</v>
      </c>
      <c r="H18" s="17">
        <v>0.08</v>
      </c>
      <c r="I18" s="16">
        <f t="shared" si="0"/>
        <v>4457.36</v>
      </c>
    </row>
    <row r="19" customHeight="1" spans="1:9">
      <c r="A19" s="19"/>
      <c r="B19" s="20"/>
      <c r="C19" s="30"/>
      <c r="D19" s="22"/>
      <c r="E19" s="20"/>
      <c r="F19" s="16" t="s">
        <v>483</v>
      </c>
      <c r="G19" s="17">
        <f>55717*5</f>
        <v>278585</v>
      </c>
      <c r="H19" s="17">
        <v>0.04</v>
      </c>
      <c r="I19" s="16">
        <f t="shared" si="0"/>
        <v>11143.4</v>
      </c>
    </row>
    <row r="20" customHeight="1" spans="1:9">
      <c r="A20" s="19"/>
      <c r="B20" s="20"/>
      <c r="C20" s="30"/>
      <c r="D20" s="22"/>
      <c r="E20" s="20"/>
      <c r="F20" s="14" t="s">
        <v>484</v>
      </c>
      <c r="G20" s="17">
        <v>55717</v>
      </c>
      <c r="H20" s="17">
        <v>0.24</v>
      </c>
      <c r="I20" s="16">
        <f t="shared" si="0"/>
        <v>13372.08</v>
      </c>
    </row>
    <row r="21" customHeight="1" spans="1:9">
      <c r="A21" s="19">
        <v>45894</v>
      </c>
      <c r="B21" s="20" t="s">
        <v>10</v>
      </c>
      <c r="C21" s="14">
        <v>86169</v>
      </c>
      <c r="D21" s="22" t="s">
        <v>485</v>
      </c>
      <c r="E21" s="21" t="s">
        <v>486</v>
      </c>
      <c r="F21" s="14" t="s">
        <v>259</v>
      </c>
      <c r="G21" s="16">
        <v>260</v>
      </c>
      <c r="H21" s="25">
        <v>0.58</v>
      </c>
      <c r="I21" s="16">
        <f t="shared" si="0"/>
        <v>150.8</v>
      </c>
    </row>
    <row r="22" customHeight="1" spans="1:9">
      <c r="A22" s="13">
        <v>45899</v>
      </c>
      <c r="B22" s="14" t="s">
        <v>10</v>
      </c>
      <c r="C22" s="14" t="s">
        <v>344</v>
      </c>
      <c r="D22" s="15" t="s">
        <v>487</v>
      </c>
      <c r="E22" s="14" t="s">
        <v>488</v>
      </c>
      <c r="F22" s="14" t="s">
        <v>376</v>
      </c>
      <c r="G22" s="16">
        <v>31000</v>
      </c>
      <c r="H22" s="16">
        <v>0.85</v>
      </c>
      <c r="I22" s="16">
        <f t="shared" si="0"/>
        <v>26350</v>
      </c>
    </row>
    <row r="23" customHeight="1" spans="1:9">
      <c r="A23" s="13"/>
      <c r="B23" s="14"/>
      <c r="C23" s="14"/>
      <c r="D23" s="15"/>
      <c r="E23" s="14"/>
      <c r="F23" s="14" t="s">
        <v>489</v>
      </c>
      <c r="G23" s="16">
        <f>G22*0.01</f>
        <v>310</v>
      </c>
      <c r="H23" s="16">
        <v>0</v>
      </c>
      <c r="I23" s="16">
        <f t="shared" si="0"/>
        <v>0</v>
      </c>
    </row>
    <row r="24" customHeight="1" spans="1:9">
      <c r="A24" s="19">
        <v>45899</v>
      </c>
      <c r="B24" s="20" t="s">
        <v>10</v>
      </c>
      <c r="C24" s="30" t="s">
        <v>490</v>
      </c>
      <c r="D24" s="22" t="s">
        <v>491</v>
      </c>
      <c r="E24" s="21" t="s">
        <v>492</v>
      </c>
      <c r="F24" s="14" t="s">
        <v>482</v>
      </c>
      <c r="G24" s="17">
        <v>11216</v>
      </c>
      <c r="H24" s="17">
        <v>0.21</v>
      </c>
      <c r="I24" s="16">
        <f t="shared" si="0"/>
        <v>2355.36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7">
        <v>11216</v>
      </c>
      <c r="H25" s="17">
        <v>0.08</v>
      </c>
      <c r="I25" s="16">
        <f t="shared" si="0"/>
        <v>897.28</v>
      </c>
    </row>
    <row r="26" customHeight="1" spans="1:9">
      <c r="A26" s="19"/>
      <c r="B26" s="20"/>
      <c r="C26" s="30"/>
      <c r="D26" s="22"/>
      <c r="E26" s="20"/>
      <c r="F26" s="16" t="s">
        <v>483</v>
      </c>
      <c r="G26" s="17">
        <f>11216*5</f>
        <v>56080</v>
      </c>
      <c r="H26" s="17">
        <v>0.04</v>
      </c>
      <c r="I26" s="16">
        <f t="shared" si="0"/>
        <v>2243.2</v>
      </c>
    </row>
    <row r="27" customHeight="1" spans="1:9">
      <c r="A27" s="19"/>
      <c r="B27" s="20"/>
      <c r="C27" s="30"/>
      <c r="D27" s="22"/>
      <c r="E27" s="20"/>
      <c r="F27" s="14" t="s">
        <v>484</v>
      </c>
      <c r="G27" s="17">
        <v>11216</v>
      </c>
      <c r="H27" s="17">
        <v>0.24</v>
      </c>
      <c r="I27" s="16">
        <f t="shared" si="0"/>
        <v>2691.84</v>
      </c>
    </row>
    <row r="28" customHeight="1" spans="1:9">
      <c r="A28" s="19">
        <v>45901</v>
      </c>
      <c r="B28" s="20" t="s">
        <v>10</v>
      </c>
      <c r="C28" s="30" t="s">
        <v>493</v>
      </c>
      <c r="D28" s="22" t="s">
        <v>494</v>
      </c>
      <c r="E28" s="21" t="s">
        <v>495</v>
      </c>
      <c r="F28" s="14" t="s">
        <v>161</v>
      </c>
      <c r="G28" s="17">
        <v>33281</v>
      </c>
      <c r="H28" s="17">
        <v>0.21</v>
      </c>
      <c r="I28" s="16">
        <f t="shared" si="0"/>
        <v>6989.01</v>
      </c>
    </row>
    <row r="29" customHeight="1" spans="1:9">
      <c r="A29" s="19"/>
      <c r="B29" s="20"/>
      <c r="C29" s="30"/>
      <c r="D29" s="22"/>
      <c r="E29" s="20"/>
      <c r="F29" s="17" t="s">
        <v>15</v>
      </c>
      <c r="G29" s="17">
        <v>33281</v>
      </c>
      <c r="H29" s="17">
        <v>0.08</v>
      </c>
      <c r="I29" s="16">
        <f t="shared" si="0"/>
        <v>2662.48</v>
      </c>
    </row>
    <row r="30" customHeight="1" spans="1:9">
      <c r="A30" s="19"/>
      <c r="B30" s="20"/>
      <c r="C30" s="30"/>
      <c r="D30" s="22"/>
      <c r="E30" s="20"/>
      <c r="F30" s="16" t="s">
        <v>57</v>
      </c>
      <c r="G30" s="17">
        <v>33281</v>
      </c>
      <c r="H30" s="16">
        <v>0.24</v>
      </c>
      <c r="I30" s="16">
        <f t="shared" si="0"/>
        <v>7987.44</v>
      </c>
    </row>
    <row r="31" customHeight="1" spans="1:9">
      <c r="A31" s="19"/>
      <c r="B31" s="20"/>
      <c r="C31" s="30"/>
      <c r="D31" s="22"/>
      <c r="E31" s="20"/>
      <c r="F31" s="14" t="s">
        <v>377</v>
      </c>
      <c r="G31" s="16">
        <f>33281*4</f>
        <v>133124</v>
      </c>
      <c r="H31" s="16">
        <v>0.04</v>
      </c>
      <c r="I31" s="16">
        <f t="shared" si="0"/>
        <v>5324.96</v>
      </c>
    </row>
    <row r="32" customHeight="1" spans="1:9">
      <c r="A32" s="19"/>
      <c r="B32" s="20"/>
      <c r="C32" s="30"/>
      <c r="D32" s="22"/>
      <c r="E32" s="20"/>
      <c r="F32" s="14" t="s">
        <v>376</v>
      </c>
      <c r="G32" s="17">
        <v>2281</v>
      </c>
      <c r="H32" s="16">
        <v>0.85</v>
      </c>
      <c r="I32" s="16">
        <f t="shared" si="0"/>
        <v>1938.85</v>
      </c>
    </row>
    <row r="33" customHeight="1" spans="1:9">
      <c r="A33" s="19"/>
      <c r="B33" s="20"/>
      <c r="C33" s="30"/>
      <c r="D33" s="22"/>
      <c r="E33" s="20"/>
      <c r="F33" s="14" t="s">
        <v>489</v>
      </c>
      <c r="G33" s="17">
        <v>23</v>
      </c>
      <c r="H33" s="16">
        <v>0</v>
      </c>
      <c r="I33" s="16">
        <f t="shared" si="0"/>
        <v>0</v>
      </c>
    </row>
    <row r="34" customHeight="1" spans="1:9">
      <c r="A34" s="13">
        <v>45901</v>
      </c>
      <c r="B34" s="14" t="s">
        <v>10</v>
      </c>
      <c r="C34" s="14">
        <v>89184</v>
      </c>
      <c r="D34" s="15" t="s">
        <v>496</v>
      </c>
      <c r="E34" s="14" t="s">
        <v>497</v>
      </c>
      <c r="F34" s="14" t="s">
        <v>14</v>
      </c>
      <c r="G34" s="16">
        <v>3887</v>
      </c>
      <c r="H34" s="16">
        <v>0.21</v>
      </c>
      <c r="I34" s="16">
        <f t="shared" si="0"/>
        <v>816.27</v>
      </c>
    </row>
    <row r="35" customHeight="1" spans="1:9">
      <c r="A35" s="13"/>
      <c r="B35" s="14"/>
      <c r="C35" s="14"/>
      <c r="D35" s="15"/>
      <c r="E35" s="14"/>
      <c r="F35" s="16" t="s">
        <v>15</v>
      </c>
      <c r="G35" s="16">
        <v>3887</v>
      </c>
      <c r="H35" s="16">
        <v>0.08</v>
      </c>
      <c r="I35" s="16">
        <f t="shared" si="0"/>
        <v>310.96</v>
      </c>
    </row>
    <row r="36" customHeight="1" spans="1:9">
      <c r="A36" s="13"/>
      <c r="B36" s="14"/>
      <c r="C36" s="14"/>
      <c r="D36" s="15"/>
      <c r="E36" s="14"/>
      <c r="F36" s="16" t="s">
        <v>63</v>
      </c>
      <c r="G36" s="16">
        <f>3887*5</f>
        <v>19435</v>
      </c>
      <c r="H36" s="16">
        <v>0.04</v>
      </c>
      <c r="I36" s="16">
        <f t="shared" si="0"/>
        <v>777.4</v>
      </c>
    </row>
    <row r="37" customHeight="1" spans="1:9">
      <c r="A37" s="13"/>
      <c r="B37" s="14"/>
      <c r="C37" s="14"/>
      <c r="D37" s="15"/>
      <c r="E37" s="14"/>
      <c r="F37" s="14" t="s">
        <v>57</v>
      </c>
      <c r="G37" s="16">
        <v>3887</v>
      </c>
      <c r="H37" s="16">
        <v>0.24</v>
      </c>
      <c r="I37" s="16">
        <f t="shared" si="0"/>
        <v>932.88</v>
      </c>
    </row>
    <row r="38" customHeight="1" spans="1:9">
      <c r="A38" s="19">
        <v>45904</v>
      </c>
      <c r="B38" s="20" t="s">
        <v>10</v>
      </c>
      <c r="C38" s="30" t="s">
        <v>498</v>
      </c>
      <c r="D38" s="22" t="s">
        <v>499</v>
      </c>
      <c r="E38" s="21" t="s">
        <v>500</v>
      </c>
      <c r="F38" s="14" t="s">
        <v>161</v>
      </c>
      <c r="G38" s="17">
        <v>31200</v>
      </c>
      <c r="H38" s="17">
        <v>0.21</v>
      </c>
      <c r="I38" s="16">
        <f t="shared" si="0"/>
        <v>6552</v>
      </c>
    </row>
    <row r="39" customHeight="1" spans="1:9">
      <c r="A39" s="19"/>
      <c r="B39" s="20"/>
      <c r="C39" s="30"/>
      <c r="D39" s="22"/>
      <c r="E39" s="20"/>
      <c r="F39" s="17" t="s">
        <v>15</v>
      </c>
      <c r="G39" s="17">
        <v>31200</v>
      </c>
      <c r="H39" s="17">
        <v>0.08</v>
      </c>
      <c r="I39" s="16">
        <f t="shared" si="0"/>
        <v>2496</v>
      </c>
    </row>
    <row r="40" customHeight="1" spans="1:9">
      <c r="A40" s="19"/>
      <c r="B40" s="20"/>
      <c r="C40" s="30"/>
      <c r="D40" s="22"/>
      <c r="E40" s="20"/>
      <c r="F40" s="16" t="s">
        <v>57</v>
      </c>
      <c r="G40" s="17">
        <v>31200</v>
      </c>
      <c r="H40" s="16">
        <v>0.24</v>
      </c>
      <c r="I40" s="16">
        <f t="shared" si="0"/>
        <v>7488</v>
      </c>
    </row>
    <row r="41" customHeight="1" spans="1:9">
      <c r="A41" s="19"/>
      <c r="B41" s="20"/>
      <c r="C41" s="30"/>
      <c r="D41" s="22"/>
      <c r="E41" s="20"/>
      <c r="F41" s="14" t="s">
        <v>377</v>
      </c>
      <c r="G41" s="16">
        <f>G40*4</f>
        <v>124800</v>
      </c>
      <c r="H41" s="16">
        <v>0.04</v>
      </c>
      <c r="I41" s="16">
        <f t="shared" si="0"/>
        <v>4992</v>
      </c>
    </row>
    <row r="42" customHeight="1" spans="1:9">
      <c r="A42" s="19"/>
      <c r="B42" s="20"/>
      <c r="C42" s="30"/>
      <c r="D42" s="22"/>
      <c r="E42" s="20"/>
      <c r="F42" s="14" t="s">
        <v>501</v>
      </c>
      <c r="G42" s="16">
        <v>31200</v>
      </c>
      <c r="H42" s="16">
        <v>0.04</v>
      </c>
      <c r="I42" s="16">
        <f t="shared" si="0"/>
        <v>1248</v>
      </c>
    </row>
    <row r="43" customHeight="1" spans="1:9">
      <c r="A43" s="19"/>
      <c r="B43" s="20"/>
      <c r="C43" s="30"/>
      <c r="D43" s="22"/>
      <c r="E43" s="20"/>
      <c r="F43" s="14" t="s">
        <v>376</v>
      </c>
      <c r="G43" s="17">
        <v>31200</v>
      </c>
      <c r="H43" s="16">
        <v>0.85</v>
      </c>
      <c r="I43" s="16">
        <f t="shared" si="0"/>
        <v>26520</v>
      </c>
    </row>
    <row r="44" customHeight="1" spans="1:9">
      <c r="A44" s="19"/>
      <c r="B44" s="20"/>
      <c r="C44" s="30"/>
      <c r="D44" s="22"/>
      <c r="E44" s="20"/>
      <c r="F44" s="14" t="s">
        <v>489</v>
      </c>
      <c r="G44" s="17">
        <f>31200*0.01</f>
        <v>312</v>
      </c>
      <c r="H44" s="16">
        <v>0</v>
      </c>
      <c r="I44" s="16">
        <f t="shared" si="0"/>
        <v>0</v>
      </c>
    </row>
    <row r="45" customHeight="1" spans="1:9">
      <c r="A45" s="19"/>
      <c r="B45" s="20"/>
      <c r="C45" s="30"/>
      <c r="D45" s="22"/>
      <c r="E45" s="20"/>
      <c r="F45" s="14" t="s">
        <v>502</v>
      </c>
      <c r="G45" s="17">
        <f>5*10+10</f>
        <v>60</v>
      </c>
      <c r="H45" s="16">
        <v>0</v>
      </c>
      <c r="I45" s="16">
        <f t="shared" si="0"/>
        <v>0</v>
      </c>
    </row>
    <row r="46" customHeight="1" spans="1:9">
      <c r="A46" s="19">
        <v>45905</v>
      </c>
      <c r="B46" s="20" t="s">
        <v>10</v>
      </c>
      <c r="C46" s="30" t="s">
        <v>503</v>
      </c>
      <c r="D46" s="22" t="s">
        <v>504</v>
      </c>
      <c r="E46" s="21" t="s">
        <v>505</v>
      </c>
      <c r="F46" s="14" t="s">
        <v>14</v>
      </c>
      <c r="G46" s="16">
        <v>12424</v>
      </c>
      <c r="H46" s="17">
        <v>0.21</v>
      </c>
      <c r="I46" s="16">
        <f t="shared" si="0"/>
        <v>2609.04</v>
      </c>
    </row>
    <row r="47" customHeight="1" spans="1:9">
      <c r="A47" s="19"/>
      <c r="B47" s="20"/>
      <c r="C47" s="30"/>
      <c r="D47" s="22"/>
      <c r="E47" s="20"/>
      <c r="F47" s="16" t="s">
        <v>15</v>
      </c>
      <c r="G47" s="16">
        <v>12424</v>
      </c>
      <c r="H47" s="17">
        <v>0.08</v>
      </c>
      <c r="I47" s="16">
        <f t="shared" si="0"/>
        <v>993.92</v>
      </c>
    </row>
    <row r="48" customHeight="1" spans="1:9">
      <c r="A48" s="19"/>
      <c r="B48" s="20"/>
      <c r="C48" s="30"/>
      <c r="D48" s="22"/>
      <c r="E48" s="20"/>
      <c r="F48" s="16" t="s">
        <v>63</v>
      </c>
      <c r="G48" s="16">
        <f>12424*5</f>
        <v>62120</v>
      </c>
      <c r="H48" s="17">
        <v>0.04</v>
      </c>
      <c r="I48" s="16">
        <f t="shared" si="0"/>
        <v>2484.8</v>
      </c>
    </row>
    <row r="49" customHeight="1" spans="1:9">
      <c r="A49" s="19"/>
      <c r="B49" s="20"/>
      <c r="C49" s="30"/>
      <c r="D49" s="22"/>
      <c r="E49" s="20"/>
      <c r="F49" s="14" t="s">
        <v>57</v>
      </c>
      <c r="G49" s="16">
        <v>12424</v>
      </c>
      <c r="H49" s="17">
        <v>0.24</v>
      </c>
      <c r="I49" s="16">
        <f t="shared" si="0"/>
        <v>2981.76</v>
      </c>
    </row>
    <row r="50" customHeight="1" spans="1:9">
      <c r="A50" s="13">
        <v>45905</v>
      </c>
      <c r="B50" s="14" t="s">
        <v>10</v>
      </c>
      <c r="C50" s="14">
        <v>89766</v>
      </c>
      <c r="D50" s="15" t="s">
        <v>506</v>
      </c>
      <c r="E50" s="14" t="s">
        <v>507</v>
      </c>
      <c r="F50" s="14" t="s">
        <v>14</v>
      </c>
      <c r="G50" s="16">
        <v>1609</v>
      </c>
      <c r="H50" s="16">
        <v>0.21</v>
      </c>
      <c r="I50" s="16">
        <f t="shared" si="0"/>
        <v>337.89</v>
      </c>
    </row>
    <row r="51" customHeight="1" spans="1:9">
      <c r="A51" s="13"/>
      <c r="B51" s="14"/>
      <c r="C51" s="14"/>
      <c r="D51" s="15"/>
      <c r="E51" s="14"/>
      <c r="F51" s="16" t="s">
        <v>15</v>
      </c>
      <c r="G51" s="16">
        <v>1609</v>
      </c>
      <c r="H51" s="16">
        <v>0.08</v>
      </c>
      <c r="I51" s="16">
        <f t="shared" si="0"/>
        <v>128.72</v>
      </c>
    </row>
    <row r="52" customHeight="1" spans="1:9">
      <c r="A52" s="13"/>
      <c r="B52" s="14"/>
      <c r="C52" s="14"/>
      <c r="D52" s="15"/>
      <c r="E52" s="14"/>
      <c r="F52" s="16" t="s">
        <v>63</v>
      </c>
      <c r="G52" s="16">
        <f>1609*5</f>
        <v>8045</v>
      </c>
      <c r="H52" s="16">
        <v>0.04</v>
      </c>
      <c r="I52" s="16">
        <f t="shared" si="0"/>
        <v>321.8</v>
      </c>
    </row>
    <row r="53" customHeight="1" spans="1:9">
      <c r="A53" s="13"/>
      <c r="B53" s="14"/>
      <c r="C53" s="14"/>
      <c r="D53" s="15"/>
      <c r="E53" s="14"/>
      <c r="F53" s="14" t="s">
        <v>57</v>
      </c>
      <c r="G53" s="16">
        <v>1609</v>
      </c>
      <c r="H53" s="16">
        <v>0.24</v>
      </c>
      <c r="I53" s="16">
        <f t="shared" si="0"/>
        <v>386.16</v>
      </c>
    </row>
    <row r="54" customHeight="1" spans="1:9">
      <c r="A54" s="19">
        <v>45916</v>
      </c>
      <c r="B54" s="20" t="s">
        <v>10</v>
      </c>
      <c r="C54" s="30">
        <v>90069</v>
      </c>
      <c r="D54" s="22" t="s">
        <v>508</v>
      </c>
      <c r="E54" s="21" t="s">
        <v>509</v>
      </c>
      <c r="F54" s="14" t="s">
        <v>161</v>
      </c>
      <c r="G54" s="17">
        <v>3121</v>
      </c>
      <c r="H54" s="17">
        <v>0.21</v>
      </c>
      <c r="I54" s="16">
        <f t="shared" si="0"/>
        <v>655.41</v>
      </c>
    </row>
    <row r="55" customHeight="1" spans="1:9">
      <c r="A55" s="19"/>
      <c r="B55" s="20"/>
      <c r="C55" s="30"/>
      <c r="D55" s="22"/>
      <c r="E55" s="20"/>
      <c r="F55" s="17" t="s">
        <v>15</v>
      </c>
      <c r="G55" s="17">
        <v>3121</v>
      </c>
      <c r="H55" s="17">
        <v>0.08</v>
      </c>
      <c r="I55" s="16">
        <f t="shared" si="0"/>
        <v>249.68</v>
      </c>
    </row>
    <row r="56" customHeight="1" spans="1:9">
      <c r="A56" s="19"/>
      <c r="B56" s="20"/>
      <c r="C56" s="30"/>
      <c r="D56" s="22"/>
      <c r="E56" s="20"/>
      <c r="F56" s="16" t="s">
        <v>57</v>
      </c>
      <c r="G56" s="17">
        <v>3121</v>
      </c>
      <c r="H56" s="16">
        <v>0.24</v>
      </c>
      <c r="I56" s="16">
        <f t="shared" si="0"/>
        <v>749.04</v>
      </c>
    </row>
    <row r="57" customHeight="1" spans="1:9">
      <c r="A57" s="19"/>
      <c r="B57" s="20"/>
      <c r="C57" s="30"/>
      <c r="D57" s="22"/>
      <c r="E57" s="20"/>
      <c r="F57" s="14" t="s">
        <v>377</v>
      </c>
      <c r="G57" s="16">
        <f>3121*4</f>
        <v>12484</v>
      </c>
      <c r="H57" s="16">
        <v>0.04</v>
      </c>
      <c r="I57" s="16">
        <f t="shared" si="0"/>
        <v>499.36</v>
      </c>
    </row>
    <row r="58" customHeight="1" spans="1:9">
      <c r="A58" s="19"/>
      <c r="B58" s="20"/>
      <c r="C58" s="30"/>
      <c r="D58" s="22"/>
      <c r="E58" s="20"/>
      <c r="F58" s="14" t="s">
        <v>376</v>
      </c>
      <c r="G58" s="17">
        <v>3121</v>
      </c>
      <c r="H58" s="16">
        <v>0.85</v>
      </c>
      <c r="I58" s="16">
        <f t="shared" si="0"/>
        <v>2652.85</v>
      </c>
    </row>
    <row r="59" customHeight="1" spans="1:9">
      <c r="A59" s="19"/>
      <c r="B59" s="20"/>
      <c r="C59" s="30"/>
      <c r="D59" s="22"/>
      <c r="E59" s="20"/>
      <c r="F59" s="14" t="s">
        <v>489</v>
      </c>
      <c r="G59" s="17">
        <v>31</v>
      </c>
      <c r="H59" s="16">
        <v>0</v>
      </c>
      <c r="I59" s="16">
        <f t="shared" si="0"/>
        <v>0</v>
      </c>
    </row>
    <row r="60" customHeight="1" spans="1:9">
      <c r="A60" s="19"/>
      <c r="B60" s="20"/>
      <c r="C60" s="30"/>
      <c r="D60" s="22"/>
      <c r="E60" s="20"/>
      <c r="F60" s="14" t="s">
        <v>502</v>
      </c>
      <c r="G60" s="17">
        <f>5*10+10</f>
        <v>60</v>
      </c>
      <c r="H60" s="16">
        <v>0</v>
      </c>
      <c r="I60" s="16">
        <f t="shared" si="0"/>
        <v>0</v>
      </c>
    </row>
    <row r="61" customHeight="1" spans="1:9">
      <c r="A61" s="13">
        <v>45917</v>
      </c>
      <c r="B61" s="14" t="s">
        <v>10</v>
      </c>
      <c r="C61" s="14">
        <v>90323</v>
      </c>
      <c r="D61" s="15" t="s">
        <v>510</v>
      </c>
      <c r="E61" s="23" t="s">
        <v>511</v>
      </c>
      <c r="F61" s="23" t="s">
        <v>14</v>
      </c>
      <c r="G61" s="25">
        <v>4198</v>
      </c>
      <c r="H61" s="25">
        <v>0.21</v>
      </c>
      <c r="I61" s="16">
        <f t="shared" si="0"/>
        <v>881.58</v>
      </c>
    </row>
    <row r="62" customHeight="1" spans="1:9">
      <c r="A62" s="13"/>
      <c r="B62" s="14"/>
      <c r="C62" s="14"/>
      <c r="D62" s="15"/>
      <c r="E62" s="23"/>
      <c r="F62" s="25" t="s">
        <v>15</v>
      </c>
      <c r="G62" s="25">
        <v>4198</v>
      </c>
      <c r="H62" s="25">
        <v>0.08</v>
      </c>
      <c r="I62" s="16">
        <f t="shared" si="0"/>
        <v>335.84</v>
      </c>
    </row>
    <row r="63" customHeight="1" spans="1:9">
      <c r="A63" s="13"/>
      <c r="B63" s="14"/>
      <c r="C63" s="14"/>
      <c r="D63" s="15"/>
      <c r="E63" s="23"/>
      <c r="F63" s="25" t="s">
        <v>25</v>
      </c>
      <c r="G63" s="25">
        <f>4198*5</f>
        <v>20990</v>
      </c>
      <c r="H63" s="25">
        <v>0.04</v>
      </c>
      <c r="I63" s="16">
        <f t="shared" si="0"/>
        <v>839.6</v>
      </c>
    </row>
    <row r="64" customHeight="1" spans="1:9">
      <c r="A64" s="13"/>
      <c r="B64" s="14"/>
      <c r="C64" s="14"/>
      <c r="D64" s="15"/>
      <c r="E64" s="23"/>
      <c r="F64" s="23" t="s">
        <v>512</v>
      </c>
      <c r="G64" s="25">
        <v>4198</v>
      </c>
      <c r="H64" s="25">
        <v>0.12</v>
      </c>
      <c r="I64" s="16">
        <f t="shared" si="0"/>
        <v>503.76</v>
      </c>
    </row>
    <row r="65" customHeight="1" spans="9:9">
      <c r="I65" s="97">
        <f>SUM(I3:I64)</f>
        <v>360955.74</v>
      </c>
    </row>
  </sheetData>
  <autoFilter xmlns:etc="http://www.wps.cn/officeDocument/2017/etCustomData" ref="A1:I65" etc:filterBottomFollowUsedRange="0">
    <extLst/>
  </autoFilter>
  <mergeCells count="61">
    <mergeCell ref="A1:I1"/>
    <mergeCell ref="A3:A12"/>
    <mergeCell ref="A13:A16"/>
    <mergeCell ref="A17:A20"/>
    <mergeCell ref="A22:A23"/>
    <mergeCell ref="A24:A27"/>
    <mergeCell ref="A28:A33"/>
    <mergeCell ref="A34:A37"/>
    <mergeCell ref="A38:A45"/>
    <mergeCell ref="A46:A49"/>
    <mergeCell ref="A50:A53"/>
    <mergeCell ref="A54:A60"/>
    <mergeCell ref="A61:A64"/>
    <mergeCell ref="B3:B12"/>
    <mergeCell ref="B13:B16"/>
    <mergeCell ref="B17:B20"/>
    <mergeCell ref="B22:B23"/>
    <mergeCell ref="B24:B27"/>
    <mergeCell ref="B28:B33"/>
    <mergeCell ref="B34:B37"/>
    <mergeCell ref="B38:B45"/>
    <mergeCell ref="B46:B49"/>
    <mergeCell ref="B50:B53"/>
    <mergeCell ref="B54:B60"/>
    <mergeCell ref="B61:B64"/>
    <mergeCell ref="C3:C12"/>
    <mergeCell ref="C13:C16"/>
    <mergeCell ref="C17:C20"/>
    <mergeCell ref="C22:C23"/>
    <mergeCell ref="C24:C27"/>
    <mergeCell ref="C28:C33"/>
    <mergeCell ref="C34:C37"/>
    <mergeCell ref="C38:C45"/>
    <mergeCell ref="C46:C49"/>
    <mergeCell ref="C50:C53"/>
    <mergeCell ref="C54:C60"/>
    <mergeCell ref="C61:C64"/>
    <mergeCell ref="D3:D12"/>
    <mergeCell ref="D13:D16"/>
    <mergeCell ref="D17:D20"/>
    <mergeCell ref="D22:D23"/>
    <mergeCell ref="D24:D27"/>
    <mergeCell ref="D28:D33"/>
    <mergeCell ref="D34:D37"/>
    <mergeCell ref="D38:D45"/>
    <mergeCell ref="D46:D49"/>
    <mergeCell ref="D50:D53"/>
    <mergeCell ref="D54:D60"/>
    <mergeCell ref="D61:D64"/>
    <mergeCell ref="E3:E12"/>
    <mergeCell ref="E13:E16"/>
    <mergeCell ref="E17:E20"/>
    <mergeCell ref="E22:E23"/>
    <mergeCell ref="E24:E27"/>
    <mergeCell ref="E28:E33"/>
    <mergeCell ref="E34:E37"/>
    <mergeCell ref="E38:E45"/>
    <mergeCell ref="E46:E49"/>
    <mergeCell ref="E50:E53"/>
    <mergeCell ref="E54:E60"/>
    <mergeCell ref="E61:E6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2" workbookViewId="0">
      <selection activeCell="E43" sqref="E43:E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45919</v>
      </c>
      <c r="B3" s="20" t="s">
        <v>10</v>
      </c>
      <c r="C3" s="14" t="s">
        <v>513</v>
      </c>
      <c r="D3" s="22" t="s">
        <v>514</v>
      </c>
      <c r="E3" s="21" t="s">
        <v>515</v>
      </c>
      <c r="F3" s="14" t="s">
        <v>14</v>
      </c>
      <c r="G3" s="16">
        <v>6302</v>
      </c>
      <c r="H3" s="17">
        <v>0.21</v>
      </c>
      <c r="I3" s="17">
        <f t="shared" ref="I3:I46" si="0">G3*H3</f>
        <v>1323.42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6302</v>
      </c>
      <c r="H4" s="17">
        <v>0.08</v>
      </c>
      <c r="I4" s="17">
        <f t="shared" si="0"/>
        <v>504.16</v>
      </c>
    </row>
    <row r="5" customHeight="1" spans="1:9">
      <c r="A5" s="19"/>
      <c r="B5" s="20"/>
      <c r="C5" s="30"/>
      <c r="D5" s="22"/>
      <c r="E5" s="20"/>
      <c r="F5" s="16" t="s">
        <v>63</v>
      </c>
      <c r="G5" s="16">
        <f>6302*5</f>
        <v>31510</v>
      </c>
      <c r="H5" s="17">
        <v>0.04</v>
      </c>
      <c r="I5" s="17">
        <f t="shared" si="0"/>
        <v>1260.4</v>
      </c>
    </row>
    <row r="6" customHeight="1" spans="1:9">
      <c r="A6" s="19"/>
      <c r="B6" s="20"/>
      <c r="C6" s="30"/>
      <c r="D6" s="22"/>
      <c r="E6" s="20"/>
      <c r="F6" s="14" t="s">
        <v>57</v>
      </c>
      <c r="G6" s="16">
        <v>6302</v>
      </c>
      <c r="H6" s="17">
        <v>0.24</v>
      </c>
      <c r="I6" s="17">
        <f t="shared" si="0"/>
        <v>1512.48</v>
      </c>
    </row>
    <row r="7" customHeight="1" spans="1:9">
      <c r="A7" s="19">
        <v>45920</v>
      </c>
      <c r="B7" s="20" t="s">
        <v>10</v>
      </c>
      <c r="C7" s="14" t="s">
        <v>516</v>
      </c>
      <c r="D7" s="22" t="s">
        <v>517</v>
      </c>
      <c r="E7" s="21" t="s">
        <v>518</v>
      </c>
      <c r="F7" s="14" t="s">
        <v>14</v>
      </c>
      <c r="G7" s="16">
        <v>27469</v>
      </c>
      <c r="H7" s="17">
        <v>0.21</v>
      </c>
      <c r="I7" s="17">
        <f t="shared" si="0"/>
        <v>5768.49</v>
      </c>
    </row>
    <row r="8" customHeight="1" spans="1:9">
      <c r="A8" s="19"/>
      <c r="B8" s="20"/>
      <c r="C8" s="30"/>
      <c r="D8" s="22"/>
      <c r="E8" s="20"/>
      <c r="F8" s="16" t="s">
        <v>15</v>
      </c>
      <c r="G8" s="16">
        <v>27469</v>
      </c>
      <c r="H8" s="17">
        <v>0.08</v>
      </c>
      <c r="I8" s="17">
        <f t="shared" si="0"/>
        <v>2197.52</v>
      </c>
    </row>
    <row r="9" customHeight="1" spans="1:9">
      <c r="A9" s="19"/>
      <c r="B9" s="20"/>
      <c r="C9" s="30"/>
      <c r="D9" s="22"/>
      <c r="E9" s="20"/>
      <c r="F9" s="16" t="s">
        <v>63</v>
      </c>
      <c r="G9" s="16">
        <f>27469*5</f>
        <v>137345</v>
      </c>
      <c r="H9" s="17">
        <v>0.04</v>
      </c>
      <c r="I9" s="17">
        <f t="shared" si="0"/>
        <v>5493.8</v>
      </c>
    </row>
    <row r="10" customHeight="1" spans="1:9">
      <c r="A10" s="19"/>
      <c r="B10" s="20"/>
      <c r="C10" s="30"/>
      <c r="D10" s="22"/>
      <c r="E10" s="20"/>
      <c r="F10" s="14" t="s">
        <v>57</v>
      </c>
      <c r="G10" s="16">
        <v>27469</v>
      </c>
      <c r="H10" s="17">
        <v>0.24</v>
      </c>
      <c r="I10" s="17">
        <f t="shared" si="0"/>
        <v>6592.56</v>
      </c>
    </row>
    <row r="11" customHeight="1" spans="1:9">
      <c r="A11" s="13">
        <v>45930</v>
      </c>
      <c r="B11" s="14" t="s">
        <v>10</v>
      </c>
      <c r="C11" s="14">
        <v>41129</v>
      </c>
      <c r="D11" s="15" t="s">
        <v>519</v>
      </c>
      <c r="E11" s="23" t="s">
        <v>520</v>
      </c>
      <c r="F11" s="23" t="s">
        <v>161</v>
      </c>
      <c r="G11" s="25">
        <v>10400</v>
      </c>
      <c r="H11" s="25">
        <v>0.21</v>
      </c>
      <c r="I11" s="17">
        <f t="shared" si="0"/>
        <v>2184</v>
      </c>
    </row>
    <row r="12" customHeight="1" spans="1:9">
      <c r="A12" s="13"/>
      <c r="B12" s="14"/>
      <c r="C12" s="14"/>
      <c r="D12" s="15"/>
      <c r="E12" s="23"/>
      <c r="F12" s="25" t="s">
        <v>15</v>
      </c>
      <c r="G12" s="25">
        <v>10400</v>
      </c>
      <c r="H12" s="25">
        <v>0.08</v>
      </c>
      <c r="I12" s="17">
        <f t="shared" si="0"/>
        <v>832</v>
      </c>
    </row>
    <row r="13" customHeight="1" spans="1:9">
      <c r="A13" s="13"/>
      <c r="B13" s="14"/>
      <c r="C13" s="14"/>
      <c r="D13" s="15"/>
      <c r="E13" s="23"/>
      <c r="F13" s="25" t="s">
        <v>28</v>
      </c>
      <c r="G13" s="25">
        <f>10400*4</f>
        <v>41600</v>
      </c>
      <c r="H13" s="25">
        <v>0.04</v>
      </c>
      <c r="I13" s="17">
        <f t="shared" si="0"/>
        <v>1664</v>
      </c>
    </row>
    <row r="14" customHeight="1" spans="1:9">
      <c r="A14" s="13"/>
      <c r="B14" s="14"/>
      <c r="C14" s="14"/>
      <c r="D14" s="15"/>
      <c r="E14" s="23"/>
      <c r="F14" s="25" t="s">
        <v>521</v>
      </c>
      <c r="G14" s="25">
        <v>10400</v>
      </c>
      <c r="H14" s="25">
        <v>0.85</v>
      </c>
      <c r="I14" s="17">
        <f t="shared" si="0"/>
        <v>8840</v>
      </c>
    </row>
    <row r="15" customHeight="1" spans="1:9">
      <c r="A15" s="13"/>
      <c r="B15" s="14"/>
      <c r="C15" s="14"/>
      <c r="D15" s="15"/>
      <c r="E15" s="23"/>
      <c r="F15" s="25" t="s">
        <v>522</v>
      </c>
      <c r="G15" s="25">
        <f>10400*0.01</f>
        <v>104</v>
      </c>
      <c r="H15" s="25">
        <v>0</v>
      </c>
      <c r="I15" s="17">
        <f t="shared" si="0"/>
        <v>0</v>
      </c>
    </row>
    <row r="16" customHeight="1" spans="1:9">
      <c r="A16" s="13"/>
      <c r="B16" s="14"/>
      <c r="C16" s="14"/>
      <c r="D16" s="15"/>
      <c r="E16" s="23"/>
      <c r="F16" s="25" t="s">
        <v>523</v>
      </c>
      <c r="G16" s="25">
        <f>6*10+10</f>
        <v>70</v>
      </c>
      <c r="H16" s="25">
        <v>0</v>
      </c>
      <c r="I16" s="17">
        <f t="shared" si="0"/>
        <v>0</v>
      </c>
    </row>
    <row r="17" customHeight="1" spans="1:9">
      <c r="A17" s="13"/>
      <c r="B17" s="14"/>
      <c r="C17" s="14"/>
      <c r="D17" s="15"/>
      <c r="E17" s="23"/>
      <c r="F17" s="23" t="s">
        <v>512</v>
      </c>
      <c r="G17" s="25">
        <v>10400</v>
      </c>
      <c r="H17" s="25">
        <v>0.12</v>
      </c>
      <c r="I17" s="17">
        <f t="shared" si="0"/>
        <v>1248</v>
      </c>
    </row>
    <row r="18" customHeight="1" spans="1:9">
      <c r="A18" s="19">
        <v>45932</v>
      </c>
      <c r="B18" s="20" t="s">
        <v>10</v>
      </c>
      <c r="C18" s="14">
        <v>91096</v>
      </c>
      <c r="D18" s="22" t="s">
        <v>524</v>
      </c>
      <c r="E18" s="21" t="s">
        <v>525</v>
      </c>
      <c r="F18" s="14" t="s">
        <v>161</v>
      </c>
      <c r="G18" s="17">
        <v>12480</v>
      </c>
      <c r="H18" s="17">
        <v>0.21</v>
      </c>
      <c r="I18" s="17">
        <f t="shared" si="0"/>
        <v>2620.8</v>
      </c>
    </row>
    <row r="19" customHeight="1" spans="1:9">
      <c r="A19" s="19"/>
      <c r="B19" s="20"/>
      <c r="C19" s="14"/>
      <c r="D19" s="22"/>
      <c r="E19" s="20"/>
      <c r="F19" s="17" t="s">
        <v>15</v>
      </c>
      <c r="G19" s="17">
        <v>12480</v>
      </c>
      <c r="H19" s="17">
        <v>0.08</v>
      </c>
      <c r="I19" s="17">
        <f t="shared" si="0"/>
        <v>998.4</v>
      </c>
    </row>
    <row r="20" customHeight="1" spans="1:9">
      <c r="A20" s="19"/>
      <c r="B20" s="20"/>
      <c r="C20" s="14"/>
      <c r="D20" s="22"/>
      <c r="E20" s="20"/>
      <c r="F20" s="16" t="s">
        <v>57</v>
      </c>
      <c r="G20" s="17">
        <v>12480</v>
      </c>
      <c r="H20" s="16">
        <v>0.24</v>
      </c>
      <c r="I20" s="17">
        <f t="shared" si="0"/>
        <v>2995.2</v>
      </c>
    </row>
    <row r="21" customHeight="1" spans="1:9">
      <c r="A21" s="19"/>
      <c r="B21" s="20"/>
      <c r="C21" s="14"/>
      <c r="D21" s="22"/>
      <c r="E21" s="20"/>
      <c r="F21" s="14" t="s">
        <v>377</v>
      </c>
      <c r="G21" s="16">
        <f>12480*4</f>
        <v>49920</v>
      </c>
      <c r="H21" s="16">
        <v>0.04</v>
      </c>
      <c r="I21" s="17">
        <f t="shared" si="0"/>
        <v>1996.8</v>
      </c>
    </row>
    <row r="22" customHeight="1" spans="1:9">
      <c r="A22" s="19"/>
      <c r="B22" s="20"/>
      <c r="C22" s="14"/>
      <c r="D22" s="22"/>
      <c r="E22" s="20"/>
      <c r="F22" s="14" t="s">
        <v>376</v>
      </c>
      <c r="G22" s="17">
        <v>12480</v>
      </c>
      <c r="H22" s="16">
        <v>0.85</v>
      </c>
      <c r="I22" s="17">
        <f t="shared" si="0"/>
        <v>10608</v>
      </c>
    </row>
    <row r="23" customHeight="1" spans="1:9">
      <c r="A23" s="19"/>
      <c r="B23" s="20"/>
      <c r="C23" s="14"/>
      <c r="D23" s="22"/>
      <c r="E23" s="20"/>
      <c r="F23" s="14" t="s">
        <v>489</v>
      </c>
      <c r="G23" s="17">
        <v>125</v>
      </c>
      <c r="H23" s="16">
        <v>0</v>
      </c>
      <c r="I23" s="17">
        <f t="shared" si="0"/>
        <v>0</v>
      </c>
    </row>
    <row r="24" customHeight="1" spans="1:9">
      <c r="A24" s="19">
        <v>45933</v>
      </c>
      <c r="B24" s="20" t="s">
        <v>10</v>
      </c>
      <c r="C24" s="14">
        <v>91191</v>
      </c>
      <c r="D24" s="22" t="s">
        <v>526</v>
      </c>
      <c r="E24" s="21" t="s">
        <v>527</v>
      </c>
      <c r="F24" s="14" t="s">
        <v>161</v>
      </c>
      <c r="G24" s="17">
        <v>17129</v>
      </c>
      <c r="H24" s="17">
        <v>0.21</v>
      </c>
      <c r="I24" s="17">
        <f t="shared" si="0"/>
        <v>3597.09</v>
      </c>
    </row>
    <row r="25" customHeight="1" spans="1:9">
      <c r="A25" s="19"/>
      <c r="B25" s="20"/>
      <c r="C25" s="14"/>
      <c r="D25" s="22"/>
      <c r="E25" s="20"/>
      <c r="F25" s="17" t="s">
        <v>15</v>
      </c>
      <c r="G25" s="17">
        <v>17129</v>
      </c>
      <c r="H25" s="17">
        <v>0.08</v>
      </c>
      <c r="I25" s="17">
        <f t="shared" si="0"/>
        <v>1370.32</v>
      </c>
    </row>
    <row r="26" customHeight="1" spans="1:9">
      <c r="A26" s="19"/>
      <c r="B26" s="20"/>
      <c r="C26" s="14"/>
      <c r="D26" s="22"/>
      <c r="E26" s="20"/>
      <c r="F26" s="16" t="s">
        <v>57</v>
      </c>
      <c r="G26" s="17">
        <v>17129</v>
      </c>
      <c r="H26" s="16">
        <v>0.24</v>
      </c>
      <c r="I26" s="17">
        <f t="shared" si="0"/>
        <v>4110.96</v>
      </c>
    </row>
    <row r="27" customHeight="1" spans="1:9">
      <c r="A27" s="19"/>
      <c r="B27" s="20"/>
      <c r="C27" s="14"/>
      <c r="D27" s="22"/>
      <c r="E27" s="20"/>
      <c r="F27" s="14" t="s">
        <v>377</v>
      </c>
      <c r="G27" s="16">
        <f>17129*4</f>
        <v>68516</v>
      </c>
      <c r="H27" s="16">
        <v>0.04</v>
      </c>
      <c r="I27" s="17">
        <f t="shared" si="0"/>
        <v>2740.64</v>
      </c>
    </row>
    <row r="28" customHeight="1" spans="1:9">
      <c r="A28" s="19"/>
      <c r="B28" s="20"/>
      <c r="C28" s="14"/>
      <c r="D28" s="22"/>
      <c r="E28" s="20"/>
      <c r="F28" s="14" t="s">
        <v>376</v>
      </c>
      <c r="G28" s="17">
        <v>17129</v>
      </c>
      <c r="H28" s="16">
        <v>0.85</v>
      </c>
      <c r="I28" s="17">
        <f t="shared" si="0"/>
        <v>14559.65</v>
      </c>
    </row>
    <row r="29" customHeight="1" spans="1:9">
      <c r="A29" s="19"/>
      <c r="B29" s="20"/>
      <c r="C29" s="14"/>
      <c r="D29" s="22"/>
      <c r="E29" s="20"/>
      <c r="F29" s="14" t="s">
        <v>489</v>
      </c>
      <c r="G29" s="17">
        <v>171</v>
      </c>
      <c r="H29" s="16">
        <v>0</v>
      </c>
      <c r="I29" s="17">
        <f t="shared" si="0"/>
        <v>0</v>
      </c>
    </row>
    <row r="30" customHeight="1" spans="1:9">
      <c r="A30" s="19">
        <v>45934</v>
      </c>
      <c r="B30" s="20" t="s">
        <v>10</v>
      </c>
      <c r="C30" s="14" t="s">
        <v>528</v>
      </c>
      <c r="D30" s="22" t="s">
        <v>529</v>
      </c>
      <c r="E30" s="21" t="s">
        <v>530</v>
      </c>
      <c r="F30" s="14" t="s">
        <v>531</v>
      </c>
      <c r="G30" s="16">
        <v>25533</v>
      </c>
      <c r="H30" s="17">
        <v>0.21</v>
      </c>
      <c r="I30" s="17">
        <f t="shared" si="0"/>
        <v>5361.93</v>
      </c>
    </row>
    <row r="31" customHeight="1" spans="1:9">
      <c r="A31" s="19"/>
      <c r="B31" s="20"/>
      <c r="C31" s="14"/>
      <c r="D31" s="22"/>
      <c r="E31" s="20"/>
      <c r="F31" s="16" t="s">
        <v>15</v>
      </c>
      <c r="G31" s="16">
        <v>25533</v>
      </c>
      <c r="H31" s="17">
        <v>0.08</v>
      </c>
      <c r="I31" s="17">
        <f t="shared" si="0"/>
        <v>2042.64</v>
      </c>
    </row>
    <row r="32" customHeight="1" spans="1:9">
      <c r="A32" s="19"/>
      <c r="B32" s="20"/>
      <c r="C32" s="14"/>
      <c r="D32" s="22"/>
      <c r="E32" s="20"/>
      <c r="F32" s="14" t="s">
        <v>532</v>
      </c>
      <c r="G32" s="16">
        <v>10400</v>
      </c>
      <c r="H32" s="17">
        <v>0.21</v>
      </c>
      <c r="I32" s="17">
        <f t="shared" si="0"/>
        <v>2184</v>
      </c>
    </row>
    <row r="33" customHeight="1" spans="1:9">
      <c r="A33" s="19"/>
      <c r="B33" s="20"/>
      <c r="C33" s="14"/>
      <c r="D33" s="22"/>
      <c r="E33" s="20"/>
      <c r="F33" s="16" t="s">
        <v>15</v>
      </c>
      <c r="G33" s="16">
        <v>10400</v>
      </c>
      <c r="H33" s="17">
        <v>0.08</v>
      </c>
      <c r="I33" s="17">
        <f t="shared" si="0"/>
        <v>832</v>
      </c>
    </row>
    <row r="34" customHeight="1" spans="1:9">
      <c r="A34" s="19"/>
      <c r="B34" s="20"/>
      <c r="C34" s="14"/>
      <c r="D34" s="22"/>
      <c r="E34" s="20"/>
      <c r="F34" s="16" t="s">
        <v>533</v>
      </c>
      <c r="G34" s="16">
        <f>25533*5</f>
        <v>127665</v>
      </c>
      <c r="H34" s="17">
        <v>0.04</v>
      </c>
      <c r="I34" s="17">
        <f t="shared" si="0"/>
        <v>5106.6</v>
      </c>
    </row>
    <row r="35" customHeight="1" spans="1:9">
      <c r="A35" s="19"/>
      <c r="B35" s="20"/>
      <c r="C35" s="14"/>
      <c r="D35" s="22"/>
      <c r="E35" s="20"/>
      <c r="F35" s="16" t="s">
        <v>534</v>
      </c>
      <c r="G35" s="16">
        <f>10400*5</f>
        <v>52000</v>
      </c>
      <c r="H35" s="17">
        <v>0.04</v>
      </c>
      <c r="I35" s="17">
        <f t="shared" si="0"/>
        <v>2080</v>
      </c>
    </row>
    <row r="36" customHeight="1" spans="1:9">
      <c r="A36" s="19"/>
      <c r="B36" s="20"/>
      <c r="C36" s="14"/>
      <c r="D36" s="22"/>
      <c r="E36" s="20"/>
      <c r="F36" s="14" t="s">
        <v>57</v>
      </c>
      <c r="G36" s="16">
        <v>35933</v>
      </c>
      <c r="H36" s="17">
        <v>0.24</v>
      </c>
      <c r="I36" s="17">
        <f t="shared" si="0"/>
        <v>8623.92</v>
      </c>
    </row>
    <row r="37" customHeight="1" spans="1:9">
      <c r="A37" s="19">
        <v>45939</v>
      </c>
      <c r="B37" s="20" t="s">
        <v>10</v>
      </c>
      <c r="C37" s="14" t="s">
        <v>535</v>
      </c>
      <c r="D37" s="22" t="s">
        <v>536</v>
      </c>
      <c r="E37" s="21" t="s">
        <v>537</v>
      </c>
      <c r="F37" s="14" t="s">
        <v>161</v>
      </c>
      <c r="G37" s="17">
        <v>31888</v>
      </c>
      <c r="H37" s="17">
        <v>0.21</v>
      </c>
      <c r="I37" s="17">
        <f t="shared" si="0"/>
        <v>6696.48</v>
      </c>
    </row>
    <row r="38" customHeight="1" spans="1:9">
      <c r="A38" s="19"/>
      <c r="B38" s="20"/>
      <c r="C38" s="14"/>
      <c r="D38" s="22"/>
      <c r="E38" s="20"/>
      <c r="F38" s="17" t="s">
        <v>15</v>
      </c>
      <c r="G38" s="17">
        <v>31888</v>
      </c>
      <c r="H38" s="17">
        <v>0.08</v>
      </c>
      <c r="I38" s="17">
        <f t="shared" si="0"/>
        <v>2551.04</v>
      </c>
    </row>
    <row r="39" customHeight="1" spans="1:9">
      <c r="A39" s="19"/>
      <c r="B39" s="20"/>
      <c r="C39" s="14"/>
      <c r="D39" s="22"/>
      <c r="E39" s="20"/>
      <c r="F39" s="16" t="s">
        <v>57</v>
      </c>
      <c r="G39" s="17">
        <v>31888</v>
      </c>
      <c r="H39" s="16">
        <v>0.24</v>
      </c>
      <c r="I39" s="17">
        <f t="shared" si="0"/>
        <v>7653.12</v>
      </c>
    </row>
    <row r="40" customHeight="1" spans="1:9">
      <c r="A40" s="19"/>
      <c r="B40" s="20"/>
      <c r="C40" s="14"/>
      <c r="D40" s="22"/>
      <c r="E40" s="20"/>
      <c r="F40" s="14" t="s">
        <v>377</v>
      </c>
      <c r="G40" s="16">
        <f>31888*4</f>
        <v>127552</v>
      </c>
      <c r="H40" s="16">
        <v>0.04</v>
      </c>
      <c r="I40" s="17">
        <f t="shared" si="0"/>
        <v>5102.08</v>
      </c>
    </row>
    <row r="41" customHeight="1" spans="1:9">
      <c r="A41" s="19"/>
      <c r="B41" s="20"/>
      <c r="C41" s="14"/>
      <c r="D41" s="22"/>
      <c r="E41" s="20"/>
      <c r="F41" s="14" t="s">
        <v>376</v>
      </c>
      <c r="G41" s="17">
        <v>31888</v>
      </c>
      <c r="H41" s="16">
        <v>0.85</v>
      </c>
      <c r="I41" s="17">
        <f t="shared" si="0"/>
        <v>27104.8</v>
      </c>
    </row>
    <row r="42" customHeight="1" spans="1:9">
      <c r="A42" s="19"/>
      <c r="B42" s="20"/>
      <c r="C42" s="14"/>
      <c r="D42" s="22"/>
      <c r="E42" s="20"/>
      <c r="F42" s="14" t="s">
        <v>489</v>
      </c>
      <c r="G42" s="17">
        <v>319</v>
      </c>
      <c r="H42" s="16">
        <v>0</v>
      </c>
      <c r="I42" s="17">
        <f t="shared" si="0"/>
        <v>0</v>
      </c>
    </row>
    <row r="43" customHeight="1" spans="1:9">
      <c r="A43" s="13">
        <v>45939</v>
      </c>
      <c r="B43" s="14" t="s">
        <v>10</v>
      </c>
      <c r="C43" s="14" t="s">
        <v>538</v>
      </c>
      <c r="D43" s="15" t="s">
        <v>539</v>
      </c>
      <c r="E43" s="14" t="s">
        <v>540</v>
      </c>
      <c r="F43" s="14" t="s">
        <v>14</v>
      </c>
      <c r="G43" s="16">
        <v>14455</v>
      </c>
      <c r="H43" s="16">
        <v>0.21</v>
      </c>
      <c r="I43" s="17">
        <f t="shared" si="0"/>
        <v>3035.55</v>
      </c>
    </row>
    <row r="44" customHeight="1" spans="1:9">
      <c r="A44" s="13"/>
      <c r="B44" s="14"/>
      <c r="C44" s="14"/>
      <c r="D44" s="15"/>
      <c r="E44" s="14"/>
      <c r="F44" s="16" t="s">
        <v>15</v>
      </c>
      <c r="G44" s="16">
        <v>14455</v>
      </c>
      <c r="H44" s="16">
        <v>0.08</v>
      </c>
      <c r="I44" s="17">
        <f t="shared" si="0"/>
        <v>1156.4</v>
      </c>
    </row>
    <row r="45" customHeight="1" spans="1:9">
      <c r="A45" s="13"/>
      <c r="B45" s="14"/>
      <c r="C45" s="14"/>
      <c r="D45" s="15"/>
      <c r="E45" s="14"/>
      <c r="F45" s="16" t="s">
        <v>63</v>
      </c>
      <c r="G45" s="16">
        <f>14455*5</f>
        <v>72275</v>
      </c>
      <c r="H45" s="16">
        <v>0.04</v>
      </c>
      <c r="I45" s="17">
        <f t="shared" si="0"/>
        <v>2891</v>
      </c>
    </row>
    <row r="46" customHeight="1" spans="1:9">
      <c r="A46" s="13"/>
      <c r="B46" s="14"/>
      <c r="C46" s="14"/>
      <c r="D46" s="15"/>
      <c r="E46" s="14"/>
      <c r="F46" s="14" t="s">
        <v>57</v>
      </c>
      <c r="G46" s="16">
        <v>14455</v>
      </c>
      <c r="H46" s="16">
        <v>0.24</v>
      </c>
      <c r="I46" s="17">
        <f t="shared" si="0"/>
        <v>3469.2</v>
      </c>
    </row>
    <row r="47" customHeight="1" spans="1:9">
      <c r="E47" s="95"/>
      <c r="I47" s="97">
        <f>SUM(I3:I46)</f>
        <v>170909.45</v>
      </c>
    </row>
  </sheetData>
  <autoFilter xmlns:etc="http://www.wps.cn/officeDocument/2017/etCustomData" ref="A1:I47" etc:filterBottomFollowUsedRange="0">
    <extLst/>
  </autoFilter>
  <mergeCells count="41">
    <mergeCell ref="A1:I1"/>
    <mergeCell ref="A3:A6"/>
    <mergeCell ref="A7:A10"/>
    <mergeCell ref="A11:A17"/>
    <mergeCell ref="A18:A23"/>
    <mergeCell ref="A24:A29"/>
    <mergeCell ref="A30:A36"/>
    <mergeCell ref="A37:A42"/>
    <mergeCell ref="A43:A46"/>
    <mergeCell ref="B3:B6"/>
    <mergeCell ref="B7:B10"/>
    <mergeCell ref="B11:B17"/>
    <mergeCell ref="B18:B23"/>
    <mergeCell ref="B24:B29"/>
    <mergeCell ref="B30:B36"/>
    <mergeCell ref="B37:B42"/>
    <mergeCell ref="B43:B46"/>
    <mergeCell ref="C3:C6"/>
    <mergeCell ref="C7:C10"/>
    <mergeCell ref="C11:C17"/>
    <mergeCell ref="C18:C23"/>
    <mergeCell ref="C24:C29"/>
    <mergeCell ref="C30:C36"/>
    <mergeCell ref="C37:C42"/>
    <mergeCell ref="C43:C46"/>
    <mergeCell ref="D3:D6"/>
    <mergeCell ref="D7:D10"/>
    <mergeCell ref="D11:D17"/>
    <mergeCell ref="D18:D23"/>
    <mergeCell ref="D24:D29"/>
    <mergeCell ref="D30:D36"/>
    <mergeCell ref="D37:D42"/>
    <mergeCell ref="D43:D46"/>
    <mergeCell ref="E3:E6"/>
    <mergeCell ref="E7:E10"/>
    <mergeCell ref="E11:E17"/>
    <mergeCell ref="E18:E23"/>
    <mergeCell ref="E24:E29"/>
    <mergeCell ref="E30:E36"/>
    <mergeCell ref="E37:E42"/>
    <mergeCell ref="E43:E4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opLeftCell="A24" workbookViewId="0">
      <selection activeCell="I59" sqref="I5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45934</v>
      </c>
      <c r="B3" s="14" t="s">
        <v>10</v>
      </c>
      <c r="C3" s="14" t="s">
        <v>541</v>
      </c>
      <c r="D3" s="15" t="s">
        <v>542</v>
      </c>
      <c r="E3" s="14" t="s">
        <v>543</v>
      </c>
      <c r="F3" s="14" t="s">
        <v>161</v>
      </c>
      <c r="G3" s="16">
        <v>24960</v>
      </c>
      <c r="H3" s="17">
        <v>0.21</v>
      </c>
      <c r="I3" s="16">
        <f t="shared" ref="I3:I58" si="0">G3*H3</f>
        <v>5241.6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24960</v>
      </c>
      <c r="H4" s="17">
        <v>0.08</v>
      </c>
      <c r="I4" s="16">
        <f t="shared" si="0"/>
        <v>1996.8</v>
      </c>
    </row>
    <row r="5" customHeight="1" spans="1:9">
      <c r="A5" s="13"/>
      <c r="B5" s="14"/>
      <c r="C5" s="14"/>
      <c r="D5" s="15"/>
      <c r="E5" s="14"/>
      <c r="F5" s="16" t="s">
        <v>63</v>
      </c>
      <c r="G5" s="16">
        <f>24960*5</f>
        <v>124800</v>
      </c>
      <c r="H5" s="16">
        <v>0.04</v>
      </c>
      <c r="I5" s="16">
        <f t="shared" si="0"/>
        <v>4992</v>
      </c>
    </row>
    <row r="6" customHeight="1" spans="1:9">
      <c r="A6" s="13"/>
      <c r="B6" s="14"/>
      <c r="C6" s="14"/>
      <c r="D6" s="15"/>
      <c r="E6" s="14"/>
      <c r="F6" s="14" t="s">
        <v>193</v>
      </c>
      <c r="G6" s="16">
        <v>24960</v>
      </c>
      <c r="H6" s="16">
        <v>0.19</v>
      </c>
      <c r="I6" s="16">
        <f t="shared" si="0"/>
        <v>4742.4</v>
      </c>
    </row>
    <row r="7" customHeight="1" spans="1:9">
      <c r="A7" s="13"/>
      <c r="B7" s="14"/>
      <c r="C7" s="14"/>
      <c r="D7" s="15"/>
      <c r="E7" s="14"/>
      <c r="F7" s="16" t="s">
        <v>259</v>
      </c>
      <c r="G7" s="16">
        <v>24960</v>
      </c>
      <c r="H7" s="16">
        <v>0.58</v>
      </c>
      <c r="I7" s="16">
        <f t="shared" si="0"/>
        <v>14476.8</v>
      </c>
    </row>
    <row r="8" customHeight="1" spans="1:9">
      <c r="A8" s="13"/>
      <c r="B8" s="14"/>
      <c r="C8" s="14"/>
      <c r="D8" s="15"/>
      <c r="E8" s="14"/>
      <c r="F8" s="16" t="s">
        <v>544</v>
      </c>
      <c r="G8" s="16">
        <v>250</v>
      </c>
      <c r="H8" s="16">
        <v>0</v>
      </c>
      <c r="I8" s="16">
        <f t="shared" si="0"/>
        <v>0</v>
      </c>
    </row>
    <row r="9" customHeight="1" spans="1:9">
      <c r="A9" s="13"/>
      <c r="B9" s="14"/>
      <c r="C9" s="14"/>
      <c r="D9" s="15"/>
      <c r="E9" s="14"/>
      <c r="F9" s="16" t="s">
        <v>325</v>
      </c>
      <c r="G9" s="16">
        <f>5*10*2+10</f>
        <v>110</v>
      </c>
      <c r="H9" s="16">
        <v>0</v>
      </c>
      <c r="I9" s="16">
        <f t="shared" si="0"/>
        <v>0</v>
      </c>
    </row>
    <row r="10" customHeight="1" spans="1:9">
      <c r="A10" s="13">
        <v>45949</v>
      </c>
      <c r="B10" s="14" t="s">
        <v>10</v>
      </c>
      <c r="C10" s="14" t="s">
        <v>545</v>
      </c>
      <c r="D10" s="15" t="s">
        <v>546</v>
      </c>
      <c r="E10" s="14" t="s">
        <v>547</v>
      </c>
      <c r="F10" s="14" t="s">
        <v>14</v>
      </c>
      <c r="G10" s="16">
        <v>10478</v>
      </c>
      <c r="H10" s="16">
        <v>0.21</v>
      </c>
      <c r="I10" s="16">
        <f t="shared" si="0"/>
        <v>2200.38</v>
      </c>
    </row>
    <row r="11" customHeight="1" spans="1:9">
      <c r="A11" s="13"/>
      <c r="B11" s="14"/>
      <c r="C11" s="14"/>
      <c r="D11" s="15"/>
      <c r="E11" s="14"/>
      <c r="F11" s="16" t="s">
        <v>15</v>
      </c>
      <c r="G11" s="16">
        <v>10478</v>
      </c>
      <c r="H11" s="16">
        <v>0.08</v>
      </c>
      <c r="I11" s="16">
        <f t="shared" si="0"/>
        <v>838.24</v>
      </c>
    </row>
    <row r="12" customHeight="1" spans="1:9">
      <c r="A12" s="13"/>
      <c r="B12" s="14"/>
      <c r="C12" s="14"/>
      <c r="D12" s="15"/>
      <c r="E12" s="14"/>
      <c r="F12" s="16" t="s">
        <v>63</v>
      </c>
      <c r="G12" s="16">
        <f>10478*5</f>
        <v>52390</v>
      </c>
      <c r="H12" s="16">
        <v>0.04</v>
      </c>
      <c r="I12" s="16">
        <f t="shared" si="0"/>
        <v>2095.6</v>
      </c>
    </row>
    <row r="13" customHeight="1" spans="1:9">
      <c r="A13" s="13"/>
      <c r="B13" s="14"/>
      <c r="C13" s="14"/>
      <c r="D13" s="15"/>
      <c r="E13" s="14"/>
      <c r="F13" s="14" t="s">
        <v>57</v>
      </c>
      <c r="G13" s="16">
        <v>10478</v>
      </c>
      <c r="H13" s="16">
        <v>0.24</v>
      </c>
      <c r="I13" s="16">
        <f t="shared" si="0"/>
        <v>2514.72</v>
      </c>
    </row>
    <row r="14" customHeight="1" spans="1:9">
      <c r="A14" s="19">
        <v>45949</v>
      </c>
      <c r="B14" s="20" t="s">
        <v>10</v>
      </c>
      <c r="C14" s="14" t="s">
        <v>548</v>
      </c>
      <c r="D14" s="22" t="s">
        <v>549</v>
      </c>
      <c r="E14" s="21" t="s">
        <v>550</v>
      </c>
      <c r="F14" s="14" t="s">
        <v>14</v>
      </c>
      <c r="G14" s="16">
        <v>29521</v>
      </c>
      <c r="H14" s="17">
        <v>0.21</v>
      </c>
      <c r="I14" s="16">
        <f t="shared" si="0"/>
        <v>6199.41</v>
      </c>
    </row>
    <row r="15" customHeight="1" spans="1:9">
      <c r="A15" s="19"/>
      <c r="B15" s="20"/>
      <c r="C15" s="30"/>
      <c r="D15" s="22"/>
      <c r="E15" s="20"/>
      <c r="F15" s="16" t="s">
        <v>15</v>
      </c>
      <c r="G15" s="16">
        <v>29521</v>
      </c>
      <c r="H15" s="17">
        <v>0.08</v>
      </c>
      <c r="I15" s="16">
        <f t="shared" si="0"/>
        <v>2361.68</v>
      </c>
    </row>
    <row r="16" customHeight="1" spans="1:9">
      <c r="A16" s="19"/>
      <c r="B16" s="20"/>
      <c r="C16" s="30"/>
      <c r="D16" s="22"/>
      <c r="E16" s="20"/>
      <c r="F16" s="16" t="s">
        <v>63</v>
      </c>
      <c r="G16" s="16">
        <f>29521*5</f>
        <v>147605</v>
      </c>
      <c r="H16" s="16">
        <v>0.04</v>
      </c>
      <c r="I16" s="16">
        <f t="shared" si="0"/>
        <v>5904.2</v>
      </c>
    </row>
    <row r="17" customHeight="1" spans="1:9">
      <c r="A17" s="19"/>
      <c r="B17" s="20"/>
      <c r="C17" s="30"/>
      <c r="D17" s="22"/>
      <c r="E17" s="20"/>
      <c r="F17" s="14" t="s">
        <v>57</v>
      </c>
      <c r="G17" s="16">
        <v>29521</v>
      </c>
      <c r="H17" s="17">
        <v>0.24</v>
      </c>
      <c r="I17" s="16">
        <f t="shared" si="0"/>
        <v>7085.04</v>
      </c>
    </row>
    <row r="18" customHeight="1" spans="1:9">
      <c r="A18" s="19">
        <v>45950</v>
      </c>
      <c r="B18" s="20" t="s">
        <v>10</v>
      </c>
      <c r="C18" s="14" t="s">
        <v>551</v>
      </c>
      <c r="D18" s="22" t="s">
        <v>552</v>
      </c>
      <c r="E18" s="21" t="s">
        <v>553</v>
      </c>
      <c r="F18" s="14" t="s">
        <v>161</v>
      </c>
      <c r="G18" s="17">
        <v>16114</v>
      </c>
      <c r="H18" s="17">
        <v>0.21</v>
      </c>
      <c r="I18" s="16">
        <f t="shared" si="0"/>
        <v>3383.94</v>
      </c>
    </row>
    <row r="19" customHeight="1" spans="1:9">
      <c r="A19" s="19"/>
      <c r="B19" s="20"/>
      <c r="C19" s="30"/>
      <c r="D19" s="22"/>
      <c r="E19" s="20"/>
      <c r="F19" s="17" t="s">
        <v>15</v>
      </c>
      <c r="G19" s="17">
        <v>16114</v>
      </c>
      <c r="H19" s="17">
        <v>0.08</v>
      </c>
      <c r="I19" s="16">
        <f t="shared" si="0"/>
        <v>1289.12</v>
      </c>
    </row>
    <row r="20" customHeight="1" spans="1:9">
      <c r="A20" s="19"/>
      <c r="B20" s="20"/>
      <c r="C20" s="30"/>
      <c r="D20" s="22"/>
      <c r="E20" s="20"/>
      <c r="F20" s="16" t="s">
        <v>57</v>
      </c>
      <c r="G20" s="17">
        <v>16114</v>
      </c>
      <c r="H20" s="16">
        <v>0.24</v>
      </c>
      <c r="I20" s="16">
        <f t="shared" si="0"/>
        <v>3867.36</v>
      </c>
    </row>
    <row r="21" customHeight="1" spans="1:9">
      <c r="A21" s="19"/>
      <c r="B21" s="20"/>
      <c r="C21" s="30"/>
      <c r="D21" s="22"/>
      <c r="E21" s="20"/>
      <c r="F21" s="14" t="s">
        <v>377</v>
      </c>
      <c r="G21" s="16">
        <f>16114*4</f>
        <v>64456</v>
      </c>
      <c r="H21" s="16">
        <v>0.04</v>
      </c>
      <c r="I21" s="16">
        <f t="shared" si="0"/>
        <v>2578.24</v>
      </c>
    </row>
    <row r="22" customHeight="1" spans="1:9">
      <c r="A22" s="19"/>
      <c r="B22" s="20"/>
      <c r="C22" s="30"/>
      <c r="D22" s="22"/>
      <c r="E22" s="20"/>
      <c r="F22" s="14" t="s">
        <v>376</v>
      </c>
      <c r="G22" s="17">
        <v>16114</v>
      </c>
      <c r="H22" s="16">
        <v>0.85</v>
      </c>
      <c r="I22" s="16">
        <f t="shared" si="0"/>
        <v>13696.9</v>
      </c>
    </row>
    <row r="23" customHeight="1" spans="1:9">
      <c r="A23" s="19"/>
      <c r="B23" s="20"/>
      <c r="C23" s="30"/>
      <c r="D23" s="22"/>
      <c r="E23" s="20"/>
      <c r="F23" s="14" t="s">
        <v>489</v>
      </c>
      <c r="G23" s="17">
        <v>161</v>
      </c>
      <c r="H23" s="16">
        <v>0</v>
      </c>
      <c r="I23" s="16">
        <f t="shared" si="0"/>
        <v>0</v>
      </c>
    </row>
    <row r="24" customHeight="1" spans="1:9">
      <c r="A24" s="19">
        <v>45953</v>
      </c>
      <c r="B24" s="20" t="s">
        <v>10</v>
      </c>
      <c r="C24" s="14" t="s">
        <v>554</v>
      </c>
      <c r="D24" s="22" t="s">
        <v>555</v>
      </c>
      <c r="E24" s="21" t="s">
        <v>556</v>
      </c>
      <c r="F24" s="14" t="s">
        <v>14</v>
      </c>
      <c r="G24" s="16">
        <v>29390</v>
      </c>
      <c r="H24" s="17">
        <v>0.21</v>
      </c>
      <c r="I24" s="16">
        <f t="shared" si="0"/>
        <v>6171.9</v>
      </c>
    </row>
    <row r="25" customHeight="1" spans="1:9">
      <c r="A25" s="19"/>
      <c r="B25" s="20"/>
      <c r="C25" s="30"/>
      <c r="D25" s="22"/>
      <c r="E25" s="20"/>
      <c r="F25" s="16" t="s">
        <v>15</v>
      </c>
      <c r="G25" s="16">
        <v>29390</v>
      </c>
      <c r="H25" s="17">
        <v>0.08</v>
      </c>
      <c r="I25" s="16">
        <f t="shared" si="0"/>
        <v>2351.2</v>
      </c>
    </row>
    <row r="26" customHeight="1" spans="1:9">
      <c r="A26" s="19"/>
      <c r="B26" s="20"/>
      <c r="C26" s="30"/>
      <c r="D26" s="22"/>
      <c r="E26" s="20"/>
      <c r="F26" s="16" t="s">
        <v>63</v>
      </c>
      <c r="G26" s="16">
        <f>29390*5</f>
        <v>146950</v>
      </c>
      <c r="H26" s="16">
        <v>0.04</v>
      </c>
      <c r="I26" s="16">
        <f t="shared" si="0"/>
        <v>5878</v>
      </c>
    </row>
    <row r="27" customHeight="1" spans="1:9">
      <c r="A27" s="19"/>
      <c r="B27" s="20"/>
      <c r="C27" s="30"/>
      <c r="D27" s="22"/>
      <c r="E27" s="20"/>
      <c r="F27" s="14" t="s">
        <v>57</v>
      </c>
      <c r="G27" s="16">
        <v>29390</v>
      </c>
      <c r="H27" s="17">
        <v>0.24</v>
      </c>
      <c r="I27" s="16">
        <f t="shared" si="0"/>
        <v>7053.6</v>
      </c>
    </row>
    <row r="28" customHeight="1" spans="1:9">
      <c r="A28" s="13">
        <v>45953</v>
      </c>
      <c r="B28" s="14" t="s">
        <v>10</v>
      </c>
      <c r="C28" s="14" t="s">
        <v>557</v>
      </c>
      <c r="D28" s="15" t="s">
        <v>558</v>
      </c>
      <c r="E28" s="14" t="s">
        <v>559</v>
      </c>
      <c r="F28" s="14" t="s">
        <v>14</v>
      </c>
      <c r="G28" s="16">
        <v>17253</v>
      </c>
      <c r="H28" s="16">
        <v>0.21</v>
      </c>
      <c r="I28" s="16">
        <f t="shared" si="0"/>
        <v>3623.13</v>
      </c>
    </row>
    <row r="29" customHeight="1" spans="1:9">
      <c r="A29" s="13"/>
      <c r="B29" s="14"/>
      <c r="C29" s="14"/>
      <c r="D29" s="15"/>
      <c r="E29" s="14"/>
      <c r="F29" s="16" t="s">
        <v>15</v>
      </c>
      <c r="G29" s="16">
        <v>17253</v>
      </c>
      <c r="H29" s="16">
        <v>0.08</v>
      </c>
      <c r="I29" s="16">
        <f t="shared" si="0"/>
        <v>1380.24</v>
      </c>
    </row>
    <row r="30" customHeight="1" spans="1:9">
      <c r="A30" s="13"/>
      <c r="B30" s="14"/>
      <c r="C30" s="14"/>
      <c r="D30" s="15"/>
      <c r="E30" s="14"/>
      <c r="F30" s="16" t="s">
        <v>63</v>
      </c>
      <c r="G30" s="16">
        <f>17253*5</f>
        <v>86265</v>
      </c>
      <c r="H30" s="16">
        <v>0.04</v>
      </c>
      <c r="I30" s="16">
        <f t="shared" si="0"/>
        <v>3450.6</v>
      </c>
    </row>
    <row r="31" customHeight="1" spans="1:9">
      <c r="A31" s="13"/>
      <c r="B31" s="14"/>
      <c r="C31" s="14"/>
      <c r="D31" s="15"/>
      <c r="E31" s="14"/>
      <c r="F31" s="14" t="s">
        <v>57</v>
      </c>
      <c r="G31" s="16">
        <v>17253</v>
      </c>
      <c r="H31" s="16">
        <v>0.24</v>
      </c>
      <c r="I31" s="16">
        <f t="shared" si="0"/>
        <v>4140.72</v>
      </c>
    </row>
    <row r="32" customHeight="1" spans="1:9">
      <c r="A32" s="19">
        <v>45961</v>
      </c>
      <c r="B32" s="20" t="s">
        <v>10</v>
      </c>
      <c r="C32" s="14" t="s">
        <v>560</v>
      </c>
      <c r="D32" s="22" t="s">
        <v>561</v>
      </c>
      <c r="E32" s="21" t="s">
        <v>562</v>
      </c>
      <c r="F32" s="14" t="s">
        <v>14</v>
      </c>
      <c r="G32" s="16">
        <v>25966</v>
      </c>
      <c r="H32" s="17">
        <v>0.21</v>
      </c>
      <c r="I32" s="16">
        <f t="shared" si="0"/>
        <v>5452.86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6">
        <v>25966</v>
      </c>
      <c r="H33" s="17">
        <v>0.08</v>
      </c>
      <c r="I33" s="16">
        <f t="shared" si="0"/>
        <v>2077.28</v>
      </c>
    </row>
    <row r="34" customHeight="1" spans="1:9">
      <c r="A34" s="19"/>
      <c r="B34" s="20"/>
      <c r="C34" s="30"/>
      <c r="D34" s="22"/>
      <c r="E34" s="20"/>
      <c r="F34" s="16" t="s">
        <v>63</v>
      </c>
      <c r="G34" s="16">
        <f>25966*5</f>
        <v>129830</v>
      </c>
      <c r="H34" s="16">
        <v>0.04</v>
      </c>
      <c r="I34" s="16">
        <f t="shared" si="0"/>
        <v>5193.2</v>
      </c>
    </row>
    <row r="35" customHeight="1" spans="1:9">
      <c r="A35" s="19"/>
      <c r="B35" s="20"/>
      <c r="C35" s="30"/>
      <c r="D35" s="22"/>
      <c r="E35" s="20"/>
      <c r="F35" s="14" t="s">
        <v>57</v>
      </c>
      <c r="G35" s="16">
        <v>25966</v>
      </c>
      <c r="H35" s="17">
        <v>0.24</v>
      </c>
      <c r="I35" s="16">
        <f t="shared" si="0"/>
        <v>6231.84</v>
      </c>
    </row>
    <row r="36" customHeight="1" spans="1:9">
      <c r="A36" s="13">
        <v>45969</v>
      </c>
      <c r="B36" s="14" t="s">
        <v>10</v>
      </c>
      <c r="C36" s="14">
        <v>41129</v>
      </c>
      <c r="D36" s="15" t="s">
        <v>563</v>
      </c>
      <c r="E36" s="23" t="s">
        <v>564</v>
      </c>
      <c r="F36" s="25" t="s">
        <v>521</v>
      </c>
      <c r="G36" s="25">
        <v>700</v>
      </c>
      <c r="H36" s="25">
        <v>0.85</v>
      </c>
      <c r="I36" s="16">
        <f t="shared" si="0"/>
        <v>595</v>
      </c>
    </row>
    <row r="37" customHeight="1" spans="1:9">
      <c r="A37" s="13"/>
      <c r="B37" s="14"/>
      <c r="C37" s="14"/>
      <c r="D37" s="15"/>
      <c r="E37" s="23"/>
      <c r="F37" s="25" t="s">
        <v>522</v>
      </c>
      <c r="G37" s="25">
        <v>7</v>
      </c>
      <c r="H37" s="25">
        <v>0</v>
      </c>
      <c r="I37" s="16">
        <f t="shared" si="0"/>
        <v>0</v>
      </c>
    </row>
    <row r="38" customHeight="1" spans="1:9">
      <c r="A38" s="19">
        <v>45975</v>
      </c>
      <c r="B38" s="20" t="s">
        <v>10</v>
      </c>
      <c r="C38" s="14" t="s">
        <v>565</v>
      </c>
      <c r="D38" s="22" t="s">
        <v>566</v>
      </c>
      <c r="E38" s="21" t="s">
        <v>567</v>
      </c>
      <c r="F38" s="14" t="s">
        <v>14</v>
      </c>
      <c r="G38" s="16">
        <v>37443</v>
      </c>
      <c r="H38" s="17">
        <v>0.21</v>
      </c>
      <c r="I38" s="16">
        <f t="shared" si="0"/>
        <v>7863.03</v>
      </c>
    </row>
    <row r="39" customHeight="1" spans="1:9">
      <c r="A39" s="19"/>
      <c r="B39" s="20"/>
      <c r="C39" s="14"/>
      <c r="D39" s="22"/>
      <c r="E39" s="20"/>
      <c r="F39" s="16" t="s">
        <v>15</v>
      </c>
      <c r="G39" s="16">
        <v>37443</v>
      </c>
      <c r="H39" s="17">
        <v>0.08</v>
      </c>
      <c r="I39" s="16">
        <f t="shared" si="0"/>
        <v>2995.44</v>
      </c>
    </row>
    <row r="40" customHeight="1" spans="1:9">
      <c r="A40" s="19"/>
      <c r="B40" s="20"/>
      <c r="C40" s="14"/>
      <c r="D40" s="22"/>
      <c r="E40" s="20"/>
      <c r="F40" s="16" t="s">
        <v>63</v>
      </c>
      <c r="G40" s="16">
        <f>37443*5</f>
        <v>187215</v>
      </c>
      <c r="H40" s="16">
        <v>0.04</v>
      </c>
      <c r="I40" s="16">
        <f t="shared" si="0"/>
        <v>7488.6</v>
      </c>
    </row>
    <row r="41" customHeight="1" spans="1:9">
      <c r="A41" s="19"/>
      <c r="B41" s="20"/>
      <c r="C41" s="14"/>
      <c r="D41" s="22"/>
      <c r="E41" s="20"/>
      <c r="F41" s="14" t="s">
        <v>57</v>
      </c>
      <c r="G41" s="16">
        <v>37443</v>
      </c>
      <c r="H41" s="17">
        <v>0.24</v>
      </c>
      <c r="I41" s="16">
        <f t="shared" si="0"/>
        <v>8986.32</v>
      </c>
    </row>
    <row r="42" customHeight="1" spans="1:9">
      <c r="A42" s="19">
        <v>45976</v>
      </c>
      <c r="B42" s="20" t="s">
        <v>10</v>
      </c>
      <c r="C42" s="14">
        <v>92822</v>
      </c>
      <c r="D42" s="22" t="s">
        <v>568</v>
      </c>
      <c r="E42" s="21" t="s">
        <v>569</v>
      </c>
      <c r="F42" s="14" t="s">
        <v>161</v>
      </c>
      <c r="G42" s="17">
        <v>5200</v>
      </c>
      <c r="H42" s="17">
        <v>0.21</v>
      </c>
      <c r="I42" s="16">
        <f t="shared" si="0"/>
        <v>1092</v>
      </c>
    </row>
    <row r="43" customHeight="1" spans="1:9">
      <c r="A43" s="19"/>
      <c r="B43" s="20"/>
      <c r="C43" s="14"/>
      <c r="D43" s="22"/>
      <c r="E43" s="20"/>
      <c r="F43" s="17" t="s">
        <v>15</v>
      </c>
      <c r="G43" s="17">
        <v>5200</v>
      </c>
      <c r="H43" s="17">
        <v>0.08</v>
      </c>
      <c r="I43" s="16">
        <f t="shared" si="0"/>
        <v>416</v>
      </c>
    </row>
    <row r="44" customHeight="1" spans="1:9">
      <c r="A44" s="19"/>
      <c r="B44" s="20"/>
      <c r="C44" s="14"/>
      <c r="D44" s="22"/>
      <c r="E44" s="20"/>
      <c r="F44" s="16" t="s">
        <v>57</v>
      </c>
      <c r="G44" s="17">
        <v>5200</v>
      </c>
      <c r="H44" s="16">
        <v>0.24</v>
      </c>
      <c r="I44" s="16">
        <f t="shared" si="0"/>
        <v>1248</v>
      </c>
    </row>
    <row r="45" customHeight="1" spans="1:9">
      <c r="A45" s="19"/>
      <c r="B45" s="20"/>
      <c r="C45" s="14"/>
      <c r="D45" s="22"/>
      <c r="E45" s="20"/>
      <c r="F45" s="14" t="s">
        <v>377</v>
      </c>
      <c r="G45" s="16">
        <f>5200*4</f>
        <v>20800</v>
      </c>
      <c r="H45" s="16">
        <v>0.04</v>
      </c>
      <c r="I45" s="16">
        <f t="shared" si="0"/>
        <v>832</v>
      </c>
    </row>
    <row r="46" customHeight="1" spans="1:9">
      <c r="A46" s="19"/>
      <c r="B46" s="20"/>
      <c r="C46" s="14"/>
      <c r="D46" s="22"/>
      <c r="E46" s="20"/>
      <c r="F46" s="14" t="s">
        <v>376</v>
      </c>
      <c r="G46" s="17">
        <v>5200</v>
      </c>
      <c r="H46" s="16">
        <v>0.85</v>
      </c>
      <c r="I46" s="16">
        <f t="shared" si="0"/>
        <v>4420</v>
      </c>
    </row>
    <row r="47" customHeight="1" spans="1:9">
      <c r="A47" s="19"/>
      <c r="B47" s="20"/>
      <c r="C47" s="14"/>
      <c r="D47" s="22"/>
      <c r="E47" s="20"/>
      <c r="F47" s="14" t="s">
        <v>489</v>
      </c>
      <c r="G47" s="17">
        <f>5200*0.01</f>
        <v>52</v>
      </c>
      <c r="H47" s="16">
        <v>0</v>
      </c>
      <c r="I47" s="16">
        <f t="shared" si="0"/>
        <v>0</v>
      </c>
    </row>
    <row r="48" customHeight="1" spans="1:9">
      <c r="A48" s="13">
        <v>45976</v>
      </c>
      <c r="B48" s="14" t="s">
        <v>10</v>
      </c>
      <c r="C48" s="14" t="s">
        <v>570</v>
      </c>
      <c r="D48" s="15" t="s">
        <v>571</v>
      </c>
      <c r="E48" s="14" t="s">
        <v>572</v>
      </c>
      <c r="F48" s="14" t="s">
        <v>14</v>
      </c>
      <c r="G48" s="16">
        <v>1218</v>
      </c>
      <c r="H48" s="16">
        <v>0.21</v>
      </c>
      <c r="I48" s="16">
        <f t="shared" si="0"/>
        <v>255.78</v>
      </c>
    </row>
    <row r="49" customHeight="1" spans="1:9">
      <c r="A49" s="13"/>
      <c r="B49" s="14"/>
      <c r="C49" s="14"/>
      <c r="D49" s="15"/>
      <c r="E49" s="14"/>
      <c r="F49" s="16" t="s">
        <v>15</v>
      </c>
      <c r="G49" s="16">
        <v>1218</v>
      </c>
      <c r="H49" s="16">
        <v>0.08</v>
      </c>
      <c r="I49" s="16">
        <f t="shared" si="0"/>
        <v>97.44</v>
      </c>
    </row>
    <row r="50" customHeight="1" spans="1:9">
      <c r="A50" s="13"/>
      <c r="B50" s="14"/>
      <c r="C50" s="14"/>
      <c r="D50" s="15"/>
      <c r="E50" s="14"/>
      <c r="F50" s="16" t="s">
        <v>63</v>
      </c>
      <c r="G50" s="16">
        <f>1218*5</f>
        <v>6090</v>
      </c>
      <c r="H50" s="16">
        <v>0.04</v>
      </c>
      <c r="I50" s="16">
        <f t="shared" si="0"/>
        <v>243.6</v>
      </c>
    </row>
    <row r="51" customHeight="1" spans="1:9">
      <c r="A51" s="13"/>
      <c r="B51" s="14"/>
      <c r="C51" s="14"/>
      <c r="D51" s="15"/>
      <c r="E51" s="14"/>
      <c r="F51" s="14" t="s">
        <v>57</v>
      </c>
      <c r="G51" s="16">
        <v>1218</v>
      </c>
      <c r="H51" s="16">
        <v>0.24</v>
      </c>
      <c r="I51" s="16">
        <f t="shared" si="0"/>
        <v>292.32</v>
      </c>
    </row>
    <row r="52" customHeight="1" spans="1:9">
      <c r="A52" s="13"/>
      <c r="B52" s="14"/>
      <c r="C52" s="14"/>
      <c r="D52" s="15"/>
      <c r="E52" s="14"/>
      <c r="F52" s="14" t="s">
        <v>14</v>
      </c>
      <c r="G52" s="16">
        <v>4641</v>
      </c>
      <c r="H52" s="16">
        <v>0.21</v>
      </c>
      <c r="I52" s="16">
        <f t="shared" si="0"/>
        <v>974.61</v>
      </c>
    </row>
    <row r="53" customHeight="1" spans="1:9">
      <c r="A53" s="13"/>
      <c r="B53" s="14"/>
      <c r="C53" s="14"/>
      <c r="D53" s="15"/>
      <c r="E53" s="14"/>
      <c r="F53" s="16" t="s">
        <v>15</v>
      </c>
      <c r="G53" s="16">
        <v>4641</v>
      </c>
      <c r="H53" s="16">
        <v>0.08</v>
      </c>
      <c r="I53" s="16">
        <f t="shared" si="0"/>
        <v>371.28</v>
      </c>
    </row>
    <row r="54" customHeight="1" spans="1:9">
      <c r="A54" s="13"/>
      <c r="B54" s="14"/>
      <c r="C54" s="14"/>
      <c r="D54" s="15"/>
      <c r="E54" s="14"/>
      <c r="F54" s="16" t="s">
        <v>63</v>
      </c>
      <c r="G54" s="16">
        <f>4641*5</f>
        <v>23205</v>
      </c>
      <c r="H54" s="16">
        <v>0.04</v>
      </c>
      <c r="I54" s="16">
        <f t="shared" si="0"/>
        <v>928.2</v>
      </c>
    </row>
    <row r="55" customHeight="1" spans="1:9">
      <c r="A55" s="13"/>
      <c r="B55" s="14"/>
      <c r="C55" s="14"/>
      <c r="D55" s="15"/>
      <c r="E55" s="14"/>
      <c r="F55" s="14" t="s">
        <v>57</v>
      </c>
      <c r="G55" s="16">
        <v>4641</v>
      </c>
      <c r="H55" s="16">
        <v>0.24</v>
      </c>
      <c r="I55" s="16">
        <f t="shared" si="0"/>
        <v>1113.84</v>
      </c>
    </row>
    <row r="56" customHeight="1" spans="1:9">
      <c r="A56" s="19">
        <v>45980</v>
      </c>
      <c r="B56" s="20" t="s">
        <v>10</v>
      </c>
      <c r="C56" s="14">
        <v>92823</v>
      </c>
      <c r="D56" s="22" t="s">
        <v>573</v>
      </c>
      <c r="E56" s="21" t="s">
        <v>574</v>
      </c>
      <c r="F56" s="14" t="s">
        <v>14</v>
      </c>
      <c r="G56" s="16">
        <v>2500</v>
      </c>
      <c r="H56" s="17">
        <v>0.21</v>
      </c>
      <c r="I56" s="16">
        <f t="shared" si="0"/>
        <v>525</v>
      </c>
    </row>
    <row r="57" customHeight="1" spans="1:9">
      <c r="A57" s="19"/>
      <c r="B57" s="20"/>
      <c r="C57" s="30"/>
      <c r="D57" s="22"/>
      <c r="E57" s="20"/>
      <c r="F57" s="16" t="s">
        <v>74</v>
      </c>
      <c r="G57" s="16">
        <v>2500</v>
      </c>
      <c r="H57" s="16">
        <v>0.04</v>
      </c>
      <c r="I57" s="16">
        <f t="shared" si="0"/>
        <v>100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6">
        <v>2500</v>
      </c>
      <c r="H58" s="17">
        <v>0.24</v>
      </c>
      <c r="I58" s="16">
        <f t="shared" si="0"/>
        <v>600</v>
      </c>
    </row>
    <row r="59" customHeight="1" spans="1:9">
      <c r="I59" s="97">
        <f>SUM(I3:I58)</f>
        <v>179907.46</v>
      </c>
    </row>
  </sheetData>
  <autoFilter xmlns:etc="http://www.wps.cn/officeDocument/2017/etCustomData" ref="A1:I59" etc:filterBottomFollowUsedRange="0">
    <extLst/>
  </autoFilter>
  <mergeCells count="61">
    <mergeCell ref="A1:I1"/>
    <mergeCell ref="A3:A9"/>
    <mergeCell ref="A10:A13"/>
    <mergeCell ref="A14:A17"/>
    <mergeCell ref="A18:A23"/>
    <mergeCell ref="A24:A27"/>
    <mergeCell ref="A28:A31"/>
    <mergeCell ref="A32:A35"/>
    <mergeCell ref="A36:A37"/>
    <mergeCell ref="A38:A41"/>
    <mergeCell ref="A42:A47"/>
    <mergeCell ref="A48:A55"/>
    <mergeCell ref="A56:A58"/>
    <mergeCell ref="B3:B9"/>
    <mergeCell ref="B10:B13"/>
    <mergeCell ref="B14:B17"/>
    <mergeCell ref="B18:B23"/>
    <mergeCell ref="B24:B27"/>
    <mergeCell ref="B28:B31"/>
    <mergeCell ref="B32:B35"/>
    <mergeCell ref="B36:B37"/>
    <mergeCell ref="B38:B41"/>
    <mergeCell ref="B42:B47"/>
    <mergeCell ref="B48:B55"/>
    <mergeCell ref="B56:B58"/>
    <mergeCell ref="C3:C9"/>
    <mergeCell ref="C10:C13"/>
    <mergeCell ref="C14:C17"/>
    <mergeCell ref="C18:C23"/>
    <mergeCell ref="C24:C27"/>
    <mergeCell ref="C28:C31"/>
    <mergeCell ref="C32:C35"/>
    <mergeCell ref="C36:C37"/>
    <mergeCell ref="C38:C41"/>
    <mergeCell ref="C42:C47"/>
    <mergeCell ref="C48:C55"/>
    <mergeCell ref="C56:C58"/>
    <mergeCell ref="D3:D9"/>
    <mergeCell ref="D10:D13"/>
    <mergeCell ref="D14:D17"/>
    <mergeCell ref="D18:D23"/>
    <mergeCell ref="D24:D27"/>
    <mergeCell ref="D28:D31"/>
    <mergeCell ref="D32:D35"/>
    <mergeCell ref="D36:D37"/>
    <mergeCell ref="D38:D41"/>
    <mergeCell ref="D42:D47"/>
    <mergeCell ref="D48:D55"/>
    <mergeCell ref="D56:D58"/>
    <mergeCell ref="E3:E9"/>
    <mergeCell ref="E10:E13"/>
    <mergeCell ref="E14:E17"/>
    <mergeCell ref="E18:E23"/>
    <mergeCell ref="E24:E27"/>
    <mergeCell ref="E28:E31"/>
    <mergeCell ref="E32:E35"/>
    <mergeCell ref="E36:E37"/>
    <mergeCell ref="E38:E41"/>
    <mergeCell ref="E42:E47"/>
    <mergeCell ref="E48:E55"/>
    <mergeCell ref="E56:E5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5"/>
  <sheetViews>
    <sheetView topLeftCell="A31" workbookViewId="0">
      <selection activeCell="E55" sqref="E55:E61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5.2727272727273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45966</v>
      </c>
      <c r="B3" s="20" t="s">
        <v>10</v>
      </c>
      <c r="C3" s="14" t="s">
        <v>575</v>
      </c>
      <c r="D3" s="22" t="s">
        <v>576</v>
      </c>
      <c r="E3" s="21" t="s">
        <v>577</v>
      </c>
      <c r="F3" s="14" t="s">
        <v>161</v>
      </c>
      <c r="G3" s="16">
        <v>32320</v>
      </c>
      <c r="H3" s="29">
        <v>0.21</v>
      </c>
      <c r="I3" s="17">
        <f>G3*H3</f>
        <v>6787.2</v>
      </c>
    </row>
    <row r="4" customHeight="1" spans="1:9">
      <c r="A4" s="19"/>
      <c r="B4" s="20"/>
      <c r="C4" s="30"/>
      <c r="D4" s="22"/>
      <c r="E4" s="20"/>
      <c r="F4" s="16" t="s">
        <v>15</v>
      </c>
      <c r="G4" s="16">
        <v>32320</v>
      </c>
      <c r="H4" s="29">
        <v>0.08</v>
      </c>
      <c r="I4" s="17">
        <f t="shared" ref="I4:I35" si="0">G4*H4</f>
        <v>2585.6</v>
      </c>
    </row>
    <row r="5" customHeight="1" spans="1:9">
      <c r="A5" s="19"/>
      <c r="B5" s="20"/>
      <c r="C5" s="30"/>
      <c r="D5" s="22"/>
      <c r="E5" s="20"/>
      <c r="F5" s="14" t="s">
        <v>161</v>
      </c>
      <c r="G5" s="16">
        <v>26665</v>
      </c>
      <c r="H5" s="29">
        <v>0.21</v>
      </c>
      <c r="I5" s="17">
        <f t="shared" si="0"/>
        <v>5599.65</v>
      </c>
    </row>
    <row r="6" customHeight="1" spans="1:9">
      <c r="A6" s="19"/>
      <c r="B6" s="20"/>
      <c r="C6" s="30"/>
      <c r="D6" s="22"/>
      <c r="E6" s="20"/>
      <c r="F6" s="16" t="s">
        <v>15</v>
      </c>
      <c r="G6" s="16">
        <v>26665</v>
      </c>
      <c r="H6" s="29">
        <v>0.08</v>
      </c>
      <c r="I6" s="17">
        <f t="shared" si="0"/>
        <v>2133.2</v>
      </c>
    </row>
    <row r="7" customHeight="1" spans="1:9">
      <c r="A7" s="19"/>
      <c r="B7" s="20"/>
      <c r="C7" s="30"/>
      <c r="D7" s="22"/>
      <c r="E7" s="20"/>
      <c r="F7" s="14" t="s">
        <v>578</v>
      </c>
      <c r="G7" s="16">
        <v>5500</v>
      </c>
      <c r="H7" s="29">
        <v>0.2</v>
      </c>
      <c r="I7" s="17">
        <f t="shared" si="0"/>
        <v>1100</v>
      </c>
    </row>
    <row r="8" customHeight="1" spans="1:9">
      <c r="A8" s="19"/>
      <c r="B8" s="20"/>
      <c r="C8" s="30"/>
      <c r="D8" s="22"/>
      <c r="E8" s="20"/>
      <c r="F8" s="14" t="s">
        <v>579</v>
      </c>
      <c r="G8" s="16">
        <v>5500</v>
      </c>
      <c r="H8" s="29">
        <v>0.18</v>
      </c>
      <c r="I8" s="17">
        <f t="shared" si="0"/>
        <v>990</v>
      </c>
    </row>
    <row r="9" customHeight="1" spans="1:9">
      <c r="A9" s="19"/>
      <c r="B9" s="20"/>
      <c r="C9" s="30"/>
      <c r="D9" s="22"/>
      <c r="E9" s="20"/>
      <c r="F9" s="16" t="s">
        <v>15</v>
      </c>
      <c r="G9" s="16">
        <v>5500</v>
      </c>
      <c r="H9" s="29">
        <v>0.08</v>
      </c>
      <c r="I9" s="17">
        <f t="shared" si="0"/>
        <v>440</v>
      </c>
    </row>
    <row r="10" customHeight="1" spans="1:9">
      <c r="A10" s="19"/>
      <c r="B10" s="20"/>
      <c r="C10" s="30"/>
      <c r="D10" s="22"/>
      <c r="E10" s="20"/>
      <c r="F10" s="14" t="s">
        <v>161</v>
      </c>
      <c r="G10" s="16">
        <v>14415</v>
      </c>
      <c r="H10" s="29">
        <v>0.21</v>
      </c>
      <c r="I10" s="17">
        <f t="shared" si="0"/>
        <v>3027.15</v>
      </c>
    </row>
    <row r="11" customHeight="1" spans="1:9">
      <c r="A11" s="19"/>
      <c r="B11" s="20"/>
      <c r="C11" s="30"/>
      <c r="D11" s="22"/>
      <c r="E11" s="20"/>
      <c r="F11" s="16" t="s">
        <v>15</v>
      </c>
      <c r="G11" s="16">
        <v>14415</v>
      </c>
      <c r="H11" s="29">
        <v>0.08</v>
      </c>
      <c r="I11" s="17">
        <f t="shared" si="0"/>
        <v>1153.2</v>
      </c>
    </row>
    <row r="12" customHeight="1" spans="1:9">
      <c r="A12" s="19"/>
      <c r="B12" s="20"/>
      <c r="C12" s="30"/>
      <c r="D12" s="22"/>
      <c r="E12" s="20"/>
      <c r="F12" s="16" t="s">
        <v>154</v>
      </c>
      <c r="G12" s="16">
        <v>9613</v>
      </c>
      <c r="H12" s="25">
        <v>0.2</v>
      </c>
      <c r="I12" s="17">
        <f t="shared" si="0"/>
        <v>1922.6</v>
      </c>
    </row>
    <row r="13" customHeight="1" spans="1:9">
      <c r="A13" s="19"/>
      <c r="B13" s="20"/>
      <c r="C13" s="30"/>
      <c r="D13" s="22"/>
      <c r="E13" s="20"/>
      <c r="F13" s="14" t="s">
        <v>161</v>
      </c>
      <c r="G13" s="16">
        <v>14417</v>
      </c>
      <c r="H13" s="29">
        <v>0.21</v>
      </c>
      <c r="I13" s="17">
        <f t="shared" si="0"/>
        <v>3027.57</v>
      </c>
    </row>
    <row r="14" customHeight="1" spans="1:9">
      <c r="A14" s="19"/>
      <c r="B14" s="20"/>
      <c r="C14" s="30"/>
      <c r="D14" s="22"/>
      <c r="E14" s="20"/>
      <c r="F14" s="16" t="s">
        <v>15</v>
      </c>
      <c r="G14" s="16">
        <v>14417</v>
      </c>
      <c r="H14" s="29">
        <v>0.08</v>
      </c>
      <c r="I14" s="17">
        <f t="shared" si="0"/>
        <v>1153.36</v>
      </c>
    </row>
    <row r="15" customHeight="1" spans="1:9">
      <c r="A15" s="19"/>
      <c r="B15" s="20"/>
      <c r="C15" s="30"/>
      <c r="D15" s="22"/>
      <c r="E15" s="20"/>
      <c r="F15" s="14" t="s">
        <v>161</v>
      </c>
      <c r="G15" s="16">
        <v>37440</v>
      </c>
      <c r="H15" s="29">
        <v>0.21</v>
      </c>
      <c r="I15" s="17">
        <f t="shared" si="0"/>
        <v>7862.4</v>
      </c>
    </row>
    <row r="16" customHeight="1" spans="1:9">
      <c r="A16" s="19"/>
      <c r="B16" s="20"/>
      <c r="C16" s="30"/>
      <c r="D16" s="22"/>
      <c r="E16" s="20"/>
      <c r="F16" s="16" t="s">
        <v>15</v>
      </c>
      <c r="G16" s="16">
        <v>37440</v>
      </c>
      <c r="H16" s="29">
        <v>0.08</v>
      </c>
      <c r="I16" s="17">
        <f t="shared" si="0"/>
        <v>2995.2</v>
      </c>
    </row>
    <row r="17" customHeight="1" spans="1:9">
      <c r="A17" s="19"/>
      <c r="B17" s="20"/>
      <c r="C17" s="30"/>
      <c r="D17" s="22"/>
      <c r="E17" s="20"/>
      <c r="F17" s="16" t="s">
        <v>63</v>
      </c>
      <c r="G17" s="16">
        <f>124800*5</f>
        <v>624000</v>
      </c>
      <c r="H17" s="25">
        <v>0.04</v>
      </c>
      <c r="I17" s="17">
        <f t="shared" si="0"/>
        <v>24960</v>
      </c>
    </row>
    <row r="18" ht="28" spans="1:9">
      <c r="A18" s="19"/>
      <c r="B18" s="20"/>
      <c r="C18" s="30"/>
      <c r="D18" s="22"/>
      <c r="E18" s="20"/>
      <c r="F18" s="14" t="s">
        <v>287</v>
      </c>
      <c r="G18" s="16">
        <v>124800</v>
      </c>
      <c r="H18" s="25">
        <v>0.08</v>
      </c>
      <c r="I18" s="17">
        <f t="shared" si="0"/>
        <v>9984</v>
      </c>
    </row>
    <row r="19" customHeight="1" spans="1:9">
      <c r="A19" s="19"/>
      <c r="B19" s="20"/>
      <c r="C19" s="30"/>
      <c r="D19" s="22"/>
      <c r="E19" s="20"/>
      <c r="F19" s="16" t="s">
        <v>259</v>
      </c>
      <c r="G19" s="16">
        <v>120000</v>
      </c>
      <c r="H19" s="25">
        <v>0.58</v>
      </c>
      <c r="I19" s="17">
        <f t="shared" si="0"/>
        <v>69600</v>
      </c>
    </row>
    <row r="20" customHeight="1" spans="1:9">
      <c r="A20" s="19"/>
      <c r="B20" s="20"/>
      <c r="C20" s="30"/>
      <c r="D20" s="22"/>
      <c r="E20" s="20"/>
      <c r="F20" s="16" t="s">
        <v>544</v>
      </c>
      <c r="G20" s="16">
        <f>120000*0.01</f>
        <v>1200</v>
      </c>
      <c r="H20" s="25">
        <v>0</v>
      </c>
      <c r="I20" s="17">
        <f t="shared" si="0"/>
        <v>0</v>
      </c>
    </row>
    <row r="21" customHeight="1" spans="1:9">
      <c r="A21" s="19"/>
      <c r="B21" s="20"/>
      <c r="C21" s="30"/>
      <c r="D21" s="22"/>
      <c r="E21" s="20"/>
      <c r="F21" s="14" t="s">
        <v>325</v>
      </c>
      <c r="G21" s="16">
        <v>70</v>
      </c>
      <c r="H21" s="29">
        <v>0</v>
      </c>
      <c r="I21" s="17">
        <f t="shared" si="0"/>
        <v>0</v>
      </c>
    </row>
    <row r="22" customHeight="1" spans="1:9">
      <c r="A22" s="19"/>
      <c r="B22" s="20"/>
      <c r="C22" s="30"/>
      <c r="D22" s="22"/>
      <c r="E22" s="20"/>
      <c r="F22" s="16" t="s">
        <v>259</v>
      </c>
      <c r="G22" s="16">
        <f>124800-G19</f>
        <v>4800</v>
      </c>
      <c r="H22" s="25">
        <v>0.58</v>
      </c>
      <c r="I22" s="17">
        <f t="shared" si="0"/>
        <v>2784</v>
      </c>
    </row>
    <row r="23" customHeight="1" spans="1:9">
      <c r="A23" s="19"/>
      <c r="B23" s="20"/>
      <c r="C23" s="30"/>
      <c r="D23" s="22"/>
      <c r="E23" s="20"/>
      <c r="F23" s="16" t="s">
        <v>544</v>
      </c>
      <c r="G23" s="16">
        <f>4800*0.01</f>
        <v>48</v>
      </c>
      <c r="H23" s="25">
        <v>0</v>
      </c>
      <c r="I23" s="17">
        <f t="shared" si="0"/>
        <v>0</v>
      </c>
    </row>
    <row r="24" customHeight="1" spans="1:9">
      <c r="A24" s="19"/>
      <c r="B24" s="20"/>
      <c r="C24" s="30"/>
      <c r="D24" s="22"/>
      <c r="E24" s="20"/>
      <c r="F24" s="16" t="s">
        <v>63</v>
      </c>
      <c r="G24" s="16">
        <f>6240*5</f>
        <v>31200</v>
      </c>
      <c r="H24" s="25">
        <v>0.04</v>
      </c>
      <c r="I24" s="17">
        <f t="shared" si="0"/>
        <v>1248</v>
      </c>
    </row>
    <row r="25" ht="28" spans="1:9">
      <c r="A25" s="19"/>
      <c r="B25" s="20"/>
      <c r="C25" s="30"/>
      <c r="D25" s="22"/>
      <c r="E25" s="20"/>
      <c r="F25" s="14" t="s">
        <v>287</v>
      </c>
      <c r="G25" s="16">
        <v>6240</v>
      </c>
      <c r="H25" s="25">
        <v>0.08</v>
      </c>
      <c r="I25" s="17">
        <f t="shared" si="0"/>
        <v>499.2</v>
      </c>
    </row>
    <row r="26" customHeight="1" spans="1:9">
      <c r="A26" s="19"/>
      <c r="B26" s="20"/>
      <c r="C26" s="30"/>
      <c r="D26" s="22"/>
      <c r="E26" s="20"/>
      <c r="F26" s="16" t="s">
        <v>259</v>
      </c>
      <c r="G26" s="16">
        <v>6240</v>
      </c>
      <c r="H26" s="25">
        <v>0.58</v>
      </c>
      <c r="I26" s="17">
        <f t="shared" si="0"/>
        <v>3619.2</v>
      </c>
    </row>
    <row r="27" customHeight="1" spans="1:9">
      <c r="A27" s="19">
        <v>45972</v>
      </c>
      <c r="B27" s="20" t="s">
        <v>10</v>
      </c>
      <c r="C27" s="14" t="s">
        <v>580</v>
      </c>
      <c r="D27" s="22" t="s">
        <v>581</v>
      </c>
      <c r="E27" s="21" t="s">
        <v>582</v>
      </c>
      <c r="F27" s="14" t="s">
        <v>161</v>
      </c>
      <c r="G27" s="16">
        <v>16639</v>
      </c>
      <c r="H27" s="29">
        <v>0.21</v>
      </c>
      <c r="I27" s="17">
        <f t="shared" si="0"/>
        <v>3494.19</v>
      </c>
    </row>
    <row r="28" customHeight="1" spans="1:9">
      <c r="A28" s="19"/>
      <c r="B28" s="20"/>
      <c r="C28" s="30"/>
      <c r="D28" s="22"/>
      <c r="E28" s="20"/>
      <c r="F28" s="16" t="s">
        <v>15</v>
      </c>
      <c r="G28" s="16">
        <v>16639</v>
      </c>
      <c r="H28" s="29">
        <v>0.08</v>
      </c>
      <c r="I28" s="17">
        <f t="shared" si="0"/>
        <v>1331.12</v>
      </c>
    </row>
    <row r="29" customHeight="1" spans="1:9">
      <c r="A29" s="19"/>
      <c r="B29" s="20"/>
      <c r="C29" s="30"/>
      <c r="D29" s="22"/>
      <c r="E29" s="20"/>
      <c r="F29" s="16" t="s">
        <v>16</v>
      </c>
      <c r="G29" s="16">
        <f>16639*4</f>
        <v>66556</v>
      </c>
      <c r="H29" s="25">
        <v>0.04</v>
      </c>
      <c r="I29" s="17">
        <f t="shared" si="0"/>
        <v>2662.24</v>
      </c>
    </row>
    <row r="30" customHeight="1" spans="1:9">
      <c r="A30" s="19"/>
      <c r="B30" s="20"/>
      <c r="C30" s="30"/>
      <c r="D30" s="22"/>
      <c r="E30" s="20"/>
      <c r="F30" s="14" t="s">
        <v>193</v>
      </c>
      <c r="G30" s="16">
        <v>16639</v>
      </c>
      <c r="H30" s="25">
        <v>0.19</v>
      </c>
      <c r="I30" s="17">
        <f t="shared" si="0"/>
        <v>3161.41</v>
      </c>
    </row>
    <row r="31" customHeight="1" spans="1:9">
      <c r="A31" s="19"/>
      <c r="B31" s="20"/>
      <c r="C31" s="30"/>
      <c r="D31" s="22"/>
      <c r="E31" s="20"/>
      <c r="F31" s="16" t="s">
        <v>259</v>
      </c>
      <c r="G31" s="16">
        <v>16639</v>
      </c>
      <c r="H31" s="25">
        <v>0.58</v>
      </c>
      <c r="I31" s="17">
        <f t="shared" si="0"/>
        <v>9650.62</v>
      </c>
    </row>
    <row r="32" customHeight="1" spans="1:9">
      <c r="A32" s="19"/>
      <c r="B32" s="20"/>
      <c r="C32" s="30"/>
      <c r="D32" s="22"/>
      <c r="E32" s="20"/>
      <c r="F32" s="16" t="s">
        <v>544</v>
      </c>
      <c r="G32" s="16">
        <v>166</v>
      </c>
      <c r="H32" s="25">
        <v>0</v>
      </c>
      <c r="I32" s="17">
        <f t="shared" si="0"/>
        <v>0</v>
      </c>
    </row>
    <row r="33" customHeight="1" spans="1:9">
      <c r="A33" s="19"/>
      <c r="B33" s="20"/>
      <c r="C33" s="30"/>
      <c r="D33" s="22"/>
      <c r="E33" s="20"/>
      <c r="F33" s="14" t="s">
        <v>325</v>
      </c>
      <c r="G33" s="16">
        <f>5*10+20</f>
        <v>70</v>
      </c>
      <c r="H33" s="29">
        <v>0</v>
      </c>
      <c r="I33" s="17">
        <f t="shared" si="0"/>
        <v>0</v>
      </c>
    </row>
    <row r="34" customHeight="1" spans="1:9">
      <c r="A34" s="19">
        <v>45981</v>
      </c>
      <c r="B34" s="20" t="s">
        <v>10</v>
      </c>
      <c r="C34" s="14">
        <v>92875</v>
      </c>
      <c r="D34" s="22" t="s">
        <v>583</v>
      </c>
      <c r="E34" s="21" t="s">
        <v>584</v>
      </c>
      <c r="F34" s="14" t="s">
        <v>14</v>
      </c>
      <c r="G34" s="16">
        <v>5200</v>
      </c>
      <c r="H34" s="29">
        <v>0.21</v>
      </c>
      <c r="I34" s="17">
        <f t="shared" si="0"/>
        <v>1092</v>
      </c>
    </row>
    <row r="35" customHeight="1" spans="1:9">
      <c r="A35" s="19"/>
      <c r="B35" s="20"/>
      <c r="C35" s="14"/>
      <c r="D35" s="22"/>
      <c r="E35" s="20"/>
      <c r="F35" s="16" t="s">
        <v>15</v>
      </c>
      <c r="G35" s="16">
        <v>5200</v>
      </c>
      <c r="H35" s="29">
        <v>0.08</v>
      </c>
      <c r="I35" s="17">
        <f t="shared" si="0"/>
        <v>416</v>
      </c>
    </row>
    <row r="36" customHeight="1" spans="1:9">
      <c r="A36" s="19"/>
      <c r="B36" s="20"/>
      <c r="C36" s="14"/>
      <c r="D36" s="22"/>
      <c r="E36" s="20"/>
      <c r="F36" s="16" t="s">
        <v>63</v>
      </c>
      <c r="G36" s="16">
        <f>5200*5</f>
        <v>26000</v>
      </c>
      <c r="H36" s="25">
        <v>0.04</v>
      </c>
      <c r="I36" s="17">
        <f t="shared" ref="I36:I70" si="1">G36*H36</f>
        <v>1040</v>
      </c>
    </row>
    <row r="37" customHeight="1" spans="1:9">
      <c r="A37" s="19"/>
      <c r="B37" s="20"/>
      <c r="C37" s="14"/>
      <c r="D37" s="22"/>
      <c r="E37" s="20"/>
      <c r="F37" s="14" t="s">
        <v>57</v>
      </c>
      <c r="G37" s="16">
        <v>5200</v>
      </c>
      <c r="H37" s="29">
        <v>0.24</v>
      </c>
      <c r="I37" s="17">
        <f t="shared" si="1"/>
        <v>1248</v>
      </c>
    </row>
    <row r="38" customHeight="1" spans="1:9">
      <c r="A38" s="13">
        <v>45981</v>
      </c>
      <c r="B38" s="14" t="s">
        <v>10</v>
      </c>
      <c r="C38" s="14" t="s">
        <v>585</v>
      </c>
      <c r="D38" s="15" t="s">
        <v>586</v>
      </c>
      <c r="E38" s="14" t="s">
        <v>587</v>
      </c>
      <c r="F38" s="14" t="s">
        <v>14</v>
      </c>
      <c r="G38" s="16">
        <v>41602</v>
      </c>
      <c r="H38" s="25">
        <v>0.21</v>
      </c>
      <c r="I38" s="17">
        <f t="shared" si="1"/>
        <v>8736.42</v>
      </c>
    </row>
    <row r="39" customHeight="1" spans="1:9">
      <c r="A39" s="13"/>
      <c r="B39" s="14"/>
      <c r="C39" s="14"/>
      <c r="D39" s="15"/>
      <c r="E39" s="14"/>
      <c r="F39" s="16" t="s">
        <v>15</v>
      </c>
      <c r="G39" s="16">
        <v>41602</v>
      </c>
      <c r="H39" s="25">
        <v>0.08</v>
      </c>
      <c r="I39" s="17">
        <f t="shared" si="1"/>
        <v>3328.16</v>
      </c>
    </row>
    <row r="40" customHeight="1" spans="1:9">
      <c r="A40" s="13"/>
      <c r="B40" s="14"/>
      <c r="C40" s="14"/>
      <c r="D40" s="15"/>
      <c r="E40" s="14"/>
      <c r="F40" s="16" t="s">
        <v>63</v>
      </c>
      <c r="G40" s="16">
        <f>41602*5</f>
        <v>208010</v>
      </c>
      <c r="H40" s="25">
        <v>0.04</v>
      </c>
      <c r="I40" s="17">
        <f t="shared" si="1"/>
        <v>8320.4</v>
      </c>
    </row>
    <row r="41" customHeight="1" spans="1:9">
      <c r="A41" s="13"/>
      <c r="B41" s="14"/>
      <c r="C41" s="14"/>
      <c r="D41" s="15"/>
      <c r="E41" s="14"/>
      <c r="F41" s="14" t="s">
        <v>57</v>
      </c>
      <c r="G41" s="16">
        <v>41602</v>
      </c>
      <c r="H41" s="25">
        <v>0.24</v>
      </c>
      <c r="I41" s="17">
        <f t="shared" si="1"/>
        <v>9984.48</v>
      </c>
    </row>
    <row r="42" customHeight="1" spans="1:9">
      <c r="A42" s="13">
        <v>45982</v>
      </c>
      <c r="B42" s="14" t="s">
        <v>10</v>
      </c>
      <c r="C42" s="14" t="s">
        <v>588</v>
      </c>
      <c r="D42" s="15" t="s">
        <v>589</v>
      </c>
      <c r="E42" s="14" t="s">
        <v>590</v>
      </c>
      <c r="F42" s="14" t="s">
        <v>161</v>
      </c>
      <c r="G42" s="16">
        <v>8319</v>
      </c>
      <c r="H42" s="25">
        <v>0.21</v>
      </c>
      <c r="I42" s="17">
        <f t="shared" si="1"/>
        <v>1746.99</v>
      </c>
    </row>
    <row r="43" customHeight="1" spans="1:9">
      <c r="A43" s="13"/>
      <c r="B43" s="14"/>
      <c r="C43" s="14"/>
      <c r="D43" s="15"/>
      <c r="E43" s="14"/>
      <c r="F43" s="16" t="s">
        <v>15</v>
      </c>
      <c r="G43" s="16">
        <v>8319</v>
      </c>
      <c r="H43" s="25">
        <v>0.08</v>
      </c>
      <c r="I43" s="17">
        <f t="shared" si="1"/>
        <v>665.52</v>
      </c>
    </row>
    <row r="44" customHeight="1" spans="1:9">
      <c r="A44" s="13"/>
      <c r="B44" s="14"/>
      <c r="C44" s="14"/>
      <c r="D44" s="15"/>
      <c r="E44" s="14"/>
      <c r="F44" s="16" t="s">
        <v>16</v>
      </c>
      <c r="G44" s="16">
        <f>8319*4</f>
        <v>33276</v>
      </c>
      <c r="H44" s="25">
        <v>0.04</v>
      </c>
      <c r="I44" s="17">
        <f t="shared" si="1"/>
        <v>1331.04</v>
      </c>
    </row>
    <row r="45" customHeight="1" spans="1:9">
      <c r="A45" s="13"/>
      <c r="B45" s="14"/>
      <c r="C45" s="14"/>
      <c r="D45" s="15"/>
      <c r="E45" s="14"/>
      <c r="F45" s="14" t="s">
        <v>193</v>
      </c>
      <c r="G45" s="16">
        <v>8319</v>
      </c>
      <c r="H45" s="25">
        <v>0.19</v>
      </c>
      <c r="I45" s="17">
        <f t="shared" si="1"/>
        <v>1580.61</v>
      </c>
    </row>
    <row r="46" customHeight="1" spans="1:9">
      <c r="A46" s="13"/>
      <c r="B46" s="14"/>
      <c r="C46" s="14"/>
      <c r="D46" s="15"/>
      <c r="E46" s="14"/>
      <c r="F46" s="16" t="s">
        <v>259</v>
      </c>
      <c r="G46" s="16">
        <v>8319</v>
      </c>
      <c r="H46" s="25">
        <v>0.58</v>
      </c>
      <c r="I46" s="17">
        <f t="shared" si="1"/>
        <v>4825.02</v>
      </c>
    </row>
    <row r="47" customHeight="1" spans="1:9">
      <c r="A47" s="13"/>
      <c r="B47" s="14"/>
      <c r="C47" s="14"/>
      <c r="D47" s="15"/>
      <c r="E47" s="14"/>
      <c r="F47" s="16" t="s">
        <v>325</v>
      </c>
      <c r="G47" s="16">
        <f>5*10+10</f>
        <v>60</v>
      </c>
      <c r="H47" s="25">
        <v>0</v>
      </c>
      <c r="I47" s="17">
        <f t="shared" si="1"/>
        <v>0</v>
      </c>
    </row>
    <row r="48" customHeight="1" spans="1:9">
      <c r="A48" s="19">
        <v>45999</v>
      </c>
      <c r="B48" s="20" t="s">
        <v>10</v>
      </c>
      <c r="C48" s="14">
        <v>45076</v>
      </c>
      <c r="D48" s="22" t="s">
        <v>591</v>
      </c>
      <c r="E48" s="21" t="s">
        <v>592</v>
      </c>
      <c r="F48" s="14" t="s">
        <v>593</v>
      </c>
      <c r="G48" s="16">
        <v>8319</v>
      </c>
      <c r="H48" s="29">
        <v>0.21</v>
      </c>
      <c r="I48" s="17">
        <f t="shared" si="1"/>
        <v>1746.99</v>
      </c>
    </row>
    <row r="49" customHeight="1" spans="1:9">
      <c r="A49" s="19"/>
      <c r="B49" s="20"/>
      <c r="C49" s="14"/>
      <c r="D49" s="22"/>
      <c r="E49" s="20"/>
      <c r="F49" s="16" t="s">
        <v>15</v>
      </c>
      <c r="G49" s="16">
        <v>8319</v>
      </c>
      <c r="H49" s="29">
        <v>0.08</v>
      </c>
      <c r="I49" s="17">
        <f t="shared" si="1"/>
        <v>665.52</v>
      </c>
    </row>
    <row r="50" customHeight="1" spans="1:9">
      <c r="A50" s="19"/>
      <c r="B50" s="20"/>
      <c r="C50" s="14"/>
      <c r="D50" s="22"/>
      <c r="E50" s="20"/>
      <c r="F50" s="16" t="s">
        <v>16</v>
      </c>
      <c r="G50" s="16">
        <f>8319*4</f>
        <v>33276</v>
      </c>
      <c r="H50" s="25">
        <v>0.04</v>
      </c>
      <c r="I50" s="17">
        <f t="shared" si="1"/>
        <v>1331.04</v>
      </c>
    </row>
    <row r="51" customHeight="1" spans="1:9">
      <c r="A51" s="19"/>
      <c r="B51" s="20"/>
      <c r="C51" s="14"/>
      <c r="D51" s="22"/>
      <c r="E51" s="20"/>
      <c r="F51" s="16" t="s">
        <v>521</v>
      </c>
      <c r="G51" s="16">
        <v>8319</v>
      </c>
      <c r="H51" s="25">
        <v>0.85</v>
      </c>
      <c r="I51" s="17">
        <f t="shared" si="1"/>
        <v>7071.15</v>
      </c>
    </row>
    <row r="52" customHeight="1" spans="1:9">
      <c r="A52" s="19"/>
      <c r="B52" s="20"/>
      <c r="C52" s="14"/>
      <c r="D52" s="22"/>
      <c r="E52" s="20"/>
      <c r="F52" s="14" t="s">
        <v>522</v>
      </c>
      <c r="G52" s="16">
        <v>83</v>
      </c>
      <c r="H52" s="29">
        <v>0</v>
      </c>
      <c r="I52" s="17">
        <f t="shared" si="1"/>
        <v>0</v>
      </c>
    </row>
    <row r="53" customHeight="1" spans="1:9">
      <c r="A53" s="19"/>
      <c r="B53" s="20"/>
      <c r="C53" s="14"/>
      <c r="D53" s="22"/>
      <c r="E53" s="20"/>
      <c r="F53" s="16" t="s">
        <v>523</v>
      </c>
      <c r="G53" s="16">
        <f>6*10+10</f>
        <v>70</v>
      </c>
      <c r="H53" s="25">
        <v>0</v>
      </c>
      <c r="I53" s="17">
        <f t="shared" si="1"/>
        <v>0</v>
      </c>
    </row>
    <row r="54" customHeight="1" spans="1:9">
      <c r="A54" s="19"/>
      <c r="B54" s="20"/>
      <c r="C54" s="14"/>
      <c r="D54" s="22"/>
      <c r="E54" s="20"/>
      <c r="F54" s="16" t="s">
        <v>594</v>
      </c>
      <c r="G54" s="16">
        <v>8319</v>
      </c>
      <c r="H54" s="25">
        <v>0.12</v>
      </c>
      <c r="I54" s="17">
        <f t="shared" si="1"/>
        <v>998.28</v>
      </c>
    </row>
    <row r="55" customHeight="1" spans="1:9">
      <c r="A55" s="19">
        <v>45999</v>
      </c>
      <c r="B55" s="20" t="s">
        <v>10</v>
      </c>
      <c r="C55" s="14">
        <v>45252</v>
      </c>
      <c r="D55" s="22" t="s">
        <v>595</v>
      </c>
      <c r="E55" s="21" t="s">
        <v>596</v>
      </c>
      <c r="F55" s="14" t="s">
        <v>593</v>
      </c>
      <c r="G55" s="16">
        <v>1040</v>
      </c>
      <c r="H55" s="29">
        <v>0.21</v>
      </c>
      <c r="I55" s="17">
        <f t="shared" si="1"/>
        <v>218.4</v>
      </c>
    </row>
    <row r="56" customHeight="1" spans="1:9">
      <c r="A56" s="19"/>
      <c r="B56" s="20"/>
      <c r="C56" s="14"/>
      <c r="D56" s="22"/>
      <c r="E56" s="20"/>
      <c r="F56" s="16" t="s">
        <v>15</v>
      </c>
      <c r="G56" s="16">
        <v>1040</v>
      </c>
      <c r="H56" s="29">
        <v>0.08</v>
      </c>
      <c r="I56" s="17">
        <f t="shared" si="1"/>
        <v>83.2</v>
      </c>
    </row>
    <row r="57" customHeight="1" spans="1:9">
      <c r="A57" s="19"/>
      <c r="B57" s="20"/>
      <c r="C57" s="14"/>
      <c r="D57" s="22"/>
      <c r="E57" s="20"/>
      <c r="F57" s="16" t="s">
        <v>165</v>
      </c>
      <c r="G57" s="16">
        <f>1040*4</f>
        <v>4160</v>
      </c>
      <c r="H57" s="25">
        <v>0.04</v>
      </c>
      <c r="I57" s="17">
        <f t="shared" si="1"/>
        <v>166.4</v>
      </c>
    </row>
    <row r="58" customHeight="1" spans="1:9">
      <c r="A58" s="19"/>
      <c r="B58" s="20"/>
      <c r="C58" s="14"/>
      <c r="D58" s="22"/>
      <c r="E58" s="20"/>
      <c r="F58" s="16" t="s">
        <v>521</v>
      </c>
      <c r="G58" s="16">
        <v>1040</v>
      </c>
      <c r="H58" s="25">
        <v>0.85</v>
      </c>
      <c r="I58" s="17">
        <f t="shared" si="1"/>
        <v>884</v>
      </c>
    </row>
    <row r="59" customHeight="1" spans="1:9">
      <c r="A59" s="19"/>
      <c r="B59" s="20"/>
      <c r="C59" s="14"/>
      <c r="D59" s="22"/>
      <c r="E59" s="20"/>
      <c r="F59" s="14" t="s">
        <v>522</v>
      </c>
      <c r="G59" s="16">
        <v>10</v>
      </c>
      <c r="H59" s="29">
        <v>0</v>
      </c>
      <c r="I59" s="17">
        <f t="shared" si="1"/>
        <v>0</v>
      </c>
    </row>
    <row r="60" customHeight="1" spans="1:9">
      <c r="A60" s="19"/>
      <c r="B60" s="20"/>
      <c r="C60" s="14"/>
      <c r="D60" s="22"/>
      <c r="E60" s="20"/>
      <c r="F60" s="16" t="s">
        <v>523</v>
      </c>
      <c r="G60" s="16">
        <f>5*10+10</f>
        <v>60</v>
      </c>
      <c r="H60" s="25">
        <v>0</v>
      </c>
      <c r="I60" s="17">
        <f t="shared" si="1"/>
        <v>0</v>
      </c>
    </row>
    <row r="61" customHeight="1" spans="1:9">
      <c r="A61" s="19"/>
      <c r="B61" s="20"/>
      <c r="C61" s="14"/>
      <c r="D61" s="22"/>
      <c r="E61" s="20"/>
      <c r="F61" s="16" t="s">
        <v>594</v>
      </c>
      <c r="G61" s="16">
        <v>1040</v>
      </c>
      <c r="H61" s="25">
        <v>0.12</v>
      </c>
      <c r="I61" s="17">
        <f t="shared" si="1"/>
        <v>124.8</v>
      </c>
    </row>
    <row r="62" customHeight="1" spans="1:9">
      <c r="A62" s="19">
        <v>45999</v>
      </c>
      <c r="B62" s="20" t="s">
        <v>10</v>
      </c>
      <c r="C62" s="14">
        <v>45253</v>
      </c>
      <c r="D62" s="22" t="s">
        <v>597</v>
      </c>
      <c r="E62" s="21" t="s">
        <v>598</v>
      </c>
      <c r="F62" s="14" t="s">
        <v>593</v>
      </c>
      <c r="G62" s="16">
        <v>779</v>
      </c>
      <c r="H62" s="29">
        <v>0.21</v>
      </c>
      <c r="I62" s="17">
        <f t="shared" si="1"/>
        <v>163.59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6">
        <v>779</v>
      </c>
      <c r="H63" s="29">
        <v>0.08</v>
      </c>
      <c r="I63" s="17">
        <f t="shared" si="1"/>
        <v>62.32</v>
      </c>
    </row>
    <row r="64" customHeight="1" spans="1:9">
      <c r="A64" s="19"/>
      <c r="B64" s="20"/>
      <c r="C64" s="14"/>
      <c r="D64" s="22"/>
      <c r="E64" s="20"/>
      <c r="F64" s="16" t="s">
        <v>16</v>
      </c>
      <c r="G64" s="16">
        <f>779*4</f>
        <v>3116</v>
      </c>
      <c r="H64" s="25">
        <v>0.04</v>
      </c>
      <c r="I64" s="17">
        <f t="shared" si="1"/>
        <v>124.64</v>
      </c>
    </row>
    <row r="65" customHeight="1" spans="1:9">
      <c r="A65" s="19"/>
      <c r="B65" s="20"/>
      <c r="C65" s="14"/>
      <c r="D65" s="22"/>
      <c r="E65" s="20"/>
      <c r="F65" s="16" t="s">
        <v>521</v>
      </c>
      <c r="G65" s="16">
        <v>779</v>
      </c>
      <c r="H65" s="25">
        <v>0.85</v>
      </c>
      <c r="I65" s="17">
        <f t="shared" si="1"/>
        <v>662.15</v>
      </c>
    </row>
    <row r="66" customHeight="1" spans="1:9">
      <c r="A66" s="19"/>
      <c r="B66" s="20"/>
      <c r="C66" s="14"/>
      <c r="D66" s="22"/>
      <c r="E66" s="20"/>
      <c r="F66" s="14" t="s">
        <v>522</v>
      </c>
      <c r="G66" s="16">
        <v>8</v>
      </c>
      <c r="H66" s="29">
        <v>0</v>
      </c>
      <c r="I66" s="17">
        <f t="shared" si="1"/>
        <v>0</v>
      </c>
    </row>
    <row r="67" customHeight="1" spans="1:9">
      <c r="A67" s="19"/>
      <c r="B67" s="20"/>
      <c r="C67" s="14"/>
      <c r="D67" s="22"/>
      <c r="E67" s="20"/>
      <c r="F67" s="16" t="s">
        <v>523</v>
      </c>
      <c r="G67" s="16">
        <f>5*10+10</f>
        <v>60</v>
      </c>
      <c r="H67" s="25">
        <v>0</v>
      </c>
      <c r="I67" s="17">
        <f t="shared" si="1"/>
        <v>0</v>
      </c>
    </row>
    <row r="68" customHeight="1" spans="1:9">
      <c r="A68" s="19"/>
      <c r="B68" s="20"/>
      <c r="C68" s="14"/>
      <c r="D68" s="22"/>
      <c r="E68" s="20"/>
      <c r="F68" s="16" t="s">
        <v>594</v>
      </c>
      <c r="G68" s="16">
        <v>779</v>
      </c>
      <c r="H68" s="25">
        <v>0.12</v>
      </c>
      <c r="I68" s="17">
        <f t="shared" si="1"/>
        <v>93.48</v>
      </c>
    </row>
    <row r="69" customHeight="1" spans="1:9">
      <c r="A69" s="13">
        <v>45999</v>
      </c>
      <c r="B69" s="14" t="s">
        <v>10</v>
      </c>
      <c r="C69" s="14">
        <v>45136</v>
      </c>
      <c r="D69" s="15" t="s">
        <v>599</v>
      </c>
      <c r="E69" s="14" t="s">
        <v>600</v>
      </c>
      <c r="F69" s="16" t="s">
        <v>16</v>
      </c>
      <c r="G69" s="16">
        <f>12480*4</f>
        <v>49920</v>
      </c>
      <c r="H69" s="25">
        <v>0.04</v>
      </c>
      <c r="I69" s="17">
        <f t="shared" si="1"/>
        <v>1996.8</v>
      </c>
    </row>
    <row r="70" customHeight="1" spans="1:9">
      <c r="A70" s="13"/>
      <c r="B70" s="14"/>
      <c r="C70" s="14"/>
      <c r="D70" s="15"/>
      <c r="E70" s="14"/>
      <c r="F70" s="16" t="s">
        <v>193</v>
      </c>
      <c r="G70" s="16">
        <v>12480</v>
      </c>
      <c r="H70" s="25">
        <v>0.19</v>
      </c>
      <c r="I70" s="17">
        <f t="shared" si="1"/>
        <v>2371.2</v>
      </c>
    </row>
    <row r="71" customHeight="1" spans="1:9">
      <c r="E71" s="95"/>
      <c r="I71" s="97">
        <f>SUM(I3:I70)</f>
        <v>236849.71</v>
      </c>
    </row>
    <row r="72" customHeight="1" spans="1:9">
      <c r="E72" s="95"/>
      <c r="I72" s="1"/>
    </row>
    <row r="73" customHeight="1" spans="1:9">
      <c r="E73" s="95"/>
      <c r="I73" s="1"/>
    </row>
    <row r="74" customHeight="1" spans="1:9">
      <c r="E74" s="95"/>
      <c r="I74" s="1"/>
    </row>
    <row r="75" customHeight="1" spans="1:9">
      <c r="E75" s="95"/>
      <c r="I75" s="1"/>
    </row>
  </sheetData>
  <autoFilter xmlns:etc="http://www.wps.cn/officeDocument/2017/etCustomData" ref="A1:I71" etc:filterBottomFollowUsedRange="0">
    <extLst/>
  </autoFilter>
  <mergeCells count="46">
    <mergeCell ref="A1:I1"/>
    <mergeCell ref="A3:A26"/>
    <mergeCell ref="A27:A33"/>
    <mergeCell ref="A34:A37"/>
    <mergeCell ref="A38:A41"/>
    <mergeCell ref="A42:A47"/>
    <mergeCell ref="A48:A54"/>
    <mergeCell ref="A55:A61"/>
    <mergeCell ref="A62:A68"/>
    <mergeCell ref="A69:A70"/>
    <mergeCell ref="B3:B26"/>
    <mergeCell ref="B27:B33"/>
    <mergeCell ref="B34:B37"/>
    <mergeCell ref="B38:B41"/>
    <mergeCell ref="B42:B47"/>
    <mergeCell ref="B48:B54"/>
    <mergeCell ref="B55:B61"/>
    <mergeCell ref="B62:B68"/>
    <mergeCell ref="B69:B70"/>
    <mergeCell ref="C3:C26"/>
    <mergeCell ref="C27:C33"/>
    <mergeCell ref="C34:C37"/>
    <mergeCell ref="C38:C41"/>
    <mergeCell ref="C42:C47"/>
    <mergeCell ref="C48:C54"/>
    <mergeCell ref="C55:C61"/>
    <mergeCell ref="C62:C68"/>
    <mergeCell ref="C69:C70"/>
    <mergeCell ref="D3:D26"/>
    <mergeCell ref="D27:D33"/>
    <mergeCell ref="D34:D37"/>
    <mergeCell ref="D38:D41"/>
    <mergeCell ref="D42:D47"/>
    <mergeCell ref="D48:D54"/>
    <mergeCell ref="D55:D61"/>
    <mergeCell ref="D62:D68"/>
    <mergeCell ref="D69:D70"/>
    <mergeCell ref="E3:E26"/>
    <mergeCell ref="E27:E33"/>
    <mergeCell ref="E34:E37"/>
    <mergeCell ref="E38:E41"/>
    <mergeCell ref="E42:E47"/>
    <mergeCell ref="E48:E54"/>
    <mergeCell ref="E55:E61"/>
    <mergeCell ref="E62:E68"/>
    <mergeCell ref="E69:E7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1"/>
  <sheetViews>
    <sheetView topLeftCell="A53" workbookViewId="0">
      <selection activeCell="F81" sqref="F81"/>
    </sheetView>
  </sheetViews>
  <sheetFormatPr defaultColWidth="8.72727272727273" defaultRowHeight="14"/>
  <cols>
    <col min="1" max="2" width="14.9090909090909" style="1" customWidth="1"/>
    <col min="3" max="3" width="7.36363636363636" style="1" customWidth="1"/>
    <col min="4" max="4" width="13.2727272727273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601</v>
      </c>
    </row>
    <row r="3" spans="1:9">
      <c r="A3" s="33">
        <v>45449</v>
      </c>
      <c r="B3" s="34" t="s">
        <v>10</v>
      </c>
      <c r="C3" s="34" t="s">
        <v>244</v>
      </c>
      <c r="D3" s="35" t="s">
        <v>602</v>
      </c>
      <c r="E3" s="36" t="s">
        <v>603</v>
      </c>
      <c r="F3" s="14" t="s">
        <v>604</v>
      </c>
      <c r="G3" s="16">
        <f>63000-6000</f>
        <v>57000</v>
      </c>
      <c r="H3" s="37">
        <v>0.043</v>
      </c>
      <c r="I3" s="38">
        <f t="shared" ref="I3:I66" si="0">G3*H3</f>
        <v>2451</v>
      </c>
    </row>
    <row r="4" spans="1:9">
      <c r="A4" s="39"/>
      <c r="B4" s="40"/>
      <c r="C4" s="40"/>
      <c r="D4" s="41"/>
      <c r="E4" s="42"/>
      <c r="F4" s="14" t="s">
        <v>605</v>
      </c>
      <c r="G4" s="16">
        <v>6000</v>
      </c>
      <c r="H4" s="16">
        <v>0.036</v>
      </c>
      <c r="I4" s="18">
        <f t="shared" si="0"/>
        <v>216</v>
      </c>
    </row>
    <row r="5" spans="1:9">
      <c r="A5" s="43"/>
      <c r="B5" s="44"/>
      <c r="C5" s="44"/>
      <c r="D5" s="45"/>
      <c r="E5" s="46"/>
      <c r="F5" s="14" t="s">
        <v>154</v>
      </c>
      <c r="G5" s="16">
        <v>1500</v>
      </c>
      <c r="H5" s="16">
        <v>0.0345</v>
      </c>
      <c r="I5" s="18">
        <f t="shared" si="0"/>
        <v>51.75</v>
      </c>
    </row>
    <row r="6" spans="1:9">
      <c r="A6" s="19">
        <v>45465</v>
      </c>
      <c r="B6" s="17" t="s">
        <v>10</v>
      </c>
      <c r="C6" s="17">
        <v>56346</v>
      </c>
      <c r="D6" s="47" t="s">
        <v>606</v>
      </c>
      <c r="E6" s="14" t="s">
        <v>607</v>
      </c>
      <c r="F6" s="14" t="s">
        <v>14</v>
      </c>
      <c r="G6" s="16">
        <v>72711</v>
      </c>
      <c r="H6" s="37">
        <v>0.043</v>
      </c>
      <c r="I6" s="18">
        <f t="shared" si="0"/>
        <v>3126.573</v>
      </c>
    </row>
    <row r="7" spans="1:9">
      <c r="A7" s="19"/>
      <c r="B7" s="17"/>
      <c r="C7" s="17"/>
      <c r="D7" s="48"/>
      <c r="E7" s="14"/>
      <c r="F7" s="16" t="s">
        <v>15</v>
      </c>
      <c r="G7" s="16">
        <v>72711</v>
      </c>
      <c r="H7" s="16">
        <v>0.017</v>
      </c>
      <c r="I7" s="18">
        <f t="shared" si="0"/>
        <v>1236.087</v>
      </c>
    </row>
    <row r="8" spans="1:9">
      <c r="A8" s="19">
        <v>45465</v>
      </c>
      <c r="B8" s="17" t="s">
        <v>10</v>
      </c>
      <c r="C8" s="17">
        <v>56422</v>
      </c>
      <c r="D8" s="47" t="s">
        <v>608</v>
      </c>
      <c r="E8" s="14" t="s">
        <v>609</v>
      </c>
      <c r="F8" s="14" t="s">
        <v>14</v>
      </c>
      <c r="G8" s="16">
        <v>36750</v>
      </c>
      <c r="H8" s="37">
        <v>0.043</v>
      </c>
      <c r="I8" s="18">
        <f t="shared" si="0"/>
        <v>1580.25</v>
      </c>
    </row>
    <row r="9" spans="1:9">
      <c r="A9" s="19"/>
      <c r="B9" s="17"/>
      <c r="C9" s="17"/>
      <c r="D9" s="47"/>
      <c r="E9" s="14"/>
      <c r="F9" s="16" t="s">
        <v>15</v>
      </c>
      <c r="G9" s="16">
        <v>36750</v>
      </c>
      <c r="H9" s="16">
        <v>0.017</v>
      </c>
      <c r="I9" s="18">
        <f t="shared" si="0"/>
        <v>624.75</v>
      </c>
    </row>
    <row r="10" ht="28" spans="1:9">
      <c r="A10" s="19">
        <v>45508</v>
      </c>
      <c r="B10" s="17" t="s">
        <v>10</v>
      </c>
      <c r="C10" s="17"/>
      <c r="D10" s="49" t="s">
        <v>610</v>
      </c>
      <c r="E10" s="14" t="s">
        <v>611</v>
      </c>
      <c r="F10" s="14" t="s">
        <v>154</v>
      </c>
      <c r="G10" s="16">
        <v>730</v>
      </c>
      <c r="H10" s="16">
        <v>0.0345</v>
      </c>
      <c r="I10" s="18">
        <f t="shared" si="0"/>
        <v>25.185</v>
      </c>
    </row>
    <row r="11" spans="1:9">
      <c r="A11" s="19">
        <v>45513</v>
      </c>
      <c r="B11" s="17" t="s">
        <v>10</v>
      </c>
      <c r="C11" s="20">
        <v>61455</v>
      </c>
      <c r="D11" s="47" t="s">
        <v>612</v>
      </c>
      <c r="E11" s="14" t="s">
        <v>613</v>
      </c>
      <c r="F11" s="14" t="s">
        <v>14</v>
      </c>
      <c r="G11" s="16">
        <v>21000</v>
      </c>
      <c r="H11" s="37">
        <v>0.043</v>
      </c>
      <c r="I11" s="18">
        <f t="shared" si="0"/>
        <v>903</v>
      </c>
    </row>
    <row r="12" spans="1:9">
      <c r="A12" s="19"/>
      <c r="B12" s="17"/>
      <c r="C12" s="17"/>
      <c r="D12" s="47"/>
      <c r="E12" s="14"/>
      <c r="F12" s="16" t="s">
        <v>15</v>
      </c>
      <c r="G12" s="16">
        <v>21000</v>
      </c>
      <c r="H12" s="16">
        <v>0.017</v>
      </c>
      <c r="I12" s="18">
        <f t="shared" si="0"/>
        <v>357</v>
      </c>
    </row>
    <row r="13" spans="1:9">
      <c r="A13" s="19"/>
      <c r="B13" s="17"/>
      <c r="C13" s="17"/>
      <c r="D13" s="47"/>
      <c r="E13" s="14"/>
      <c r="F13" s="50" t="s">
        <v>25</v>
      </c>
      <c r="G13" s="16">
        <f>21000*5</f>
        <v>105000</v>
      </c>
      <c r="H13" s="50">
        <v>0.007</v>
      </c>
      <c r="I13" s="18">
        <f t="shared" si="0"/>
        <v>735</v>
      </c>
    </row>
    <row r="14" spans="1:9">
      <c r="A14" s="19"/>
      <c r="B14" s="17"/>
      <c r="C14" s="17"/>
      <c r="D14" s="47"/>
      <c r="E14" s="14"/>
      <c r="F14" s="14" t="s">
        <v>17</v>
      </c>
      <c r="G14" s="16">
        <v>21000</v>
      </c>
      <c r="H14" s="16">
        <v>0.021</v>
      </c>
      <c r="I14" s="18">
        <f t="shared" si="0"/>
        <v>441</v>
      </c>
    </row>
    <row r="15" ht="42" spans="1:9">
      <c r="A15" s="43">
        <v>45521</v>
      </c>
      <c r="B15" s="44" t="s">
        <v>10</v>
      </c>
      <c r="C15" s="44"/>
      <c r="D15" s="47" t="s">
        <v>614</v>
      </c>
      <c r="E15" s="14" t="s">
        <v>615</v>
      </c>
      <c r="F15" s="14" t="s">
        <v>154</v>
      </c>
      <c r="G15" s="16">
        <v>3468</v>
      </c>
      <c r="H15" s="16">
        <v>0.0345</v>
      </c>
      <c r="I15" s="18">
        <f t="shared" si="0"/>
        <v>119.646</v>
      </c>
    </row>
    <row r="16" ht="28" spans="1:9">
      <c r="A16" s="19">
        <v>45527</v>
      </c>
      <c r="B16" s="17" t="s">
        <v>10</v>
      </c>
      <c r="C16" s="20"/>
      <c r="D16" s="47" t="s">
        <v>616</v>
      </c>
      <c r="E16" s="14" t="s">
        <v>617</v>
      </c>
      <c r="F16" s="14" t="s">
        <v>604</v>
      </c>
      <c r="G16" s="16">
        <v>15750</v>
      </c>
      <c r="H16" s="16">
        <v>0.043</v>
      </c>
      <c r="I16" s="18">
        <f t="shared" si="0"/>
        <v>677.25</v>
      </c>
    </row>
    <row r="17" spans="1:9">
      <c r="A17" s="19">
        <v>45521</v>
      </c>
      <c r="B17" s="17" t="s">
        <v>10</v>
      </c>
      <c r="C17" s="17" t="s">
        <v>244</v>
      </c>
      <c r="D17" s="49" t="s">
        <v>618</v>
      </c>
      <c r="E17" s="14" t="s">
        <v>619</v>
      </c>
      <c r="F17" s="16" t="s">
        <v>25</v>
      </c>
      <c r="G17" s="16">
        <f>12396*5</f>
        <v>61980</v>
      </c>
      <c r="H17" s="16">
        <v>0.007</v>
      </c>
      <c r="I17" s="18">
        <f t="shared" si="0"/>
        <v>433.86</v>
      </c>
    </row>
    <row r="18" ht="28" spans="1:9">
      <c r="A18" s="19"/>
      <c r="B18" s="17"/>
      <c r="C18" s="17"/>
      <c r="D18" s="49"/>
      <c r="E18" s="14"/>
      <c r="F18" s="14" t="s">
        <v>57</v>
      </c>
      <c r="G18" s="16">
        <v>12396</v>
      </c>
      <c r="H18" s="51">
        <v>0.0508</v>
      </c>
      <c r="I18" s="18">
        <f t="shared" si="0"/>
        <v>629.7168</v>
      </c>
    </row>
    <row r="19" spans="1:9">
      <c r="A19" s="19"/>
      <c r="B19" s="17"/>
      <c r="C19" s="17" t="s">
        <v>244</v>
      </c>
      <c r="D19" s="49" t="s">
        <v>618</v>
      </c>
      <c r="E19" s="14" t="s">
        <v>620</v>
      </c>
      <c r="F19" s="16" t="s">
        <v>28</v>
      </c>
      <c r="G19" s="16">
        <f>12602*4</f>
        <v>50408</v>
      </c>
      <c r="H19" s="16">
        <v>0.007</v>
      </c>
      <c r="I19" s="18">
        <f t="shared" si="0"/>
        <v>352.856</v>
      </c>
    </row>
    <row r="20" spans="1:9">
      <c r="A20" s="19"/>
      <c r="B20" s="17"/>
      <c r="C20" s="17"/>
      <c r="D20" s="49"/>
      <c r="E20" s="14"/>
      <c r="F20" s="14" t="s">
        <v>621</v>
      </c>
      <c r="G20" s="16">
        <v>12602</v>
      </c>
      <c r="H20" s="16">
        <v>0.027</v>
      </c>
      <c r="I20" s="18">
        <f t="shared" si="0"/>
        <v>340.254</v>
      </c>
    </row>
    <row r="21" ht="28" spans="1:9">
      <c r="A21" s="19">
        <v>45558</v>
      </c>
      <c r="B21" s="17" t="s">
        <v>10</v>
      </c>
      <c r="C21" s="17" t="s">
        <v>244</v>
      </c>
      <c r="D21" s="49" t="s">
        <v>622</v>
      </c>
      <c r="E21" s="14" t="s">
        <v>619</v>
      </c>
      <c r="F21" s="14" t="s">
        <v>604</v>
      </c>
      <c r="G21" s="16">
        <v>12396</v>
      </c>
      <c r="H21" s="16">
        <v>0.043</v>
      </c>
      <c r="I21" s="18">
        <f t="shared" si="0"/>
        <v>533.028</v>
      </c>
    </row>
    <row r="22" ht="42" spans="1:9">
      <c r="A22" s="19">
        <v>45582</v>
      </c>
      <c r="B22" s="17" t="s">
        <v>10</v>
      </c>
      <c r="C22" s="20" t="s">
        <v>623</v>
      </c>
      <c r="D22" s="47" t="s">
        <v>624</v>
      </c>
      <c r="E22" s="14" t="s">
        <v>625</v>
      </c>
      <c r="F22" s="14" t="s">
        <v>626</v>
      </c>
      <c r="G22" s="16">
        <v>850</v>
      </c>
      <c r="H22" s="37">
        <v>0.043</v>
      </c>
      <c r="I22" s="18">
        <f t="shared" si="0"/>
        <v>36.55</v>
      </c>
    </row>
    <row r="23" spans="1:9">
      <c r="A23" s="19">
        <v>45588</v>
      </c>
      <c r="B23" s="17" t="s">
        <v>10</v>
      </c>
      <c r="C23" s="17"/>
      <c r="D23" s="47" t="s">
        <v>627</v>
      </c>
      <c r="E23" s="14" t="s">
        <v>628</v>
      </c>
      <c r="F23" s="14" t="s">
        <v>629</v>
      </c>
      <c r="G23" s="16">
        <v>3000</v>
      </c>
      <c r="H23" s="51">
        <v>0.0173</v>
      </c>
      <c r="I23" s="18">
        <f t="shared" si="0"/>
        <v>51.9</v>
      </c>
    </row>
    <row r="24" ht="42" spans="1:9">
      <c r="A24" s="19">
        <v>45593</v>
      </c>
      <c r="B24" s="17" t="s">
        <v>10</v>
      </c>
      <c r="C24" s="20"/>
      <c r="D24" s="49" t="s">
        <v>630</v>
      </c>
      <c r="E24" s="14" t="s">
        <v>631</v>
      </c>
      <c r="F24" s="14" t="s">
        <v>14</v>
      </c>
      <c r="G24" s="52">
        <v>5401</v>
      </c>
      <c r="H24" s="16">
        <v>0.043</v>
      </c>
      <c r="I24" s="18">
        <f t="shared" si="0"/>
        <v>232.243</v>
      </c>
    </row>
    <row r="25" ht="42" spans="1:9">
      <c r="A25" s="19">
        <v>45607</v>
      </c>
      <c r="B25" s="17" t="s">
        <v>10</v>
      </c>
      <c r="C25" s="20">
        <v>64788</v>
      </c>
      <c r="D25" s="47" t="s">
        <v>632</v>
      </c>
      <c r="E25" s="14" t="s">
        <v>633</v>
      </c>
      <c r="F25" s="14" t="s">
        <v>604</v>
      </c>
      <c r="G25" s="16">
        <v>8925</v>
      </c>
      <c r="H25" s="37">
        <v>0.043</v>
      </c>
      <c r="I25" s="18">
        <f t="shared" si="0"/>
        <v>383.775</v>
      </c>
    </row>
    <row r="26" ht="42" spans="1:9">
      <c r="A26" s="19">
        <v>45619</v>
      </c>
      <c r="B26" s="17" t="s">
        <v>10</v>
      </c>
      <c r="C26" s="14">
        <v>65205</v>
      </c>
      <c r="D26" s="49" t="s">
        <v>634</v>
      </c>
      <c r="E26" s="14" t="s">
        <v>635</v>
      </c>
      <c r="F26" s="14" t="s">
        <v>96</v>
      </c>
      <c r="G26" s="16">
        <v>10500</v>
      </c>
      <c r="H26" s="37">
        <v>0.043</v>
      </c>
      <c r="I26" s="18">
        <f t="shared" si="0"/>
        <v>451.5</v>
      </c>
    </row>
    <row r="27" spans="1:9">
      <c r="A27" s="19">
        <v>45620</v>
      </c>
      <c r="B27" s="17" t="s">
        <v>10</v>
      </c>
      <c r="C27" s="17"/>
      <c r="D27" s="47" t="s">
        <v>636</v>
      </c>
      <c r="E27" s="14" t="s">
        <v>637</v>
      </c>
      <c r="F27" s="14" t="s">
        <v>638</v>
      </c>
      <c r="G27" s="16">
        <v>3000</v>
      </c>
      <c r="H27" s="51">
        <f>0.0173/2</f>
        <v>0.00865</v>
      </c>
      <c r="I27" s="18">
        <f t="shared" si="0"/>
        <v>25.95</v>
      </c>
    </row>
    <row r="28" ht="42" spans="1:9">
      <c r="A28" s="19">
        <v>45643</v>
      </c>
      <c r="B28" s="17" t="s">
        <v>10</v>
      </c>
      <c r="C28" s="20"/>
      <c r="D28" s="49" t="s">
        <v>639</v>
      </c>
      <c r="E28" s="14" t="s">
        <v>640</v>
      </c>
      <c r="F28" s="14" t="s">
        <v>641</v>
      </c>
      <c r="G28" s="16">
        <v>900</v>
      </c>
      <c r="H28" s="37">
        <v>0.043</v>
      </c>
      <c r="I28" s="18">
        <f t="shared" si="0"/>
        <v>38.7</v>
      </c>
    </row>
    <row r="29" ht="28" spans="1:9">
      <c r="A29" s="43">
        <v>45651</v>
      </c>
      <c r="B29" s="44" t="s">
        <v>10</v>
      </c>
      <c r="C29" s="44">
        <v>15547</v>
      </c>
      <c r="D29" s="47" t="s">
        <v>642</v>
      </c>
      <c r="E29" s="14" t="s">
        <v>108</v>
      </c>
      <c r="F29" s="14" t="s">
        <v>154</v>
      </c>
      <c r="G29" s="16">
        <v>1876</v>
      </c>
      <c r="H29" s="16">
        <v>0.0345</v>
      </c>
      <c r="I29" s="18">
        <f t="shared" si="0"/>
        <v>64.722</v>
      </c>
    </row>
    <row r="30" ht="56" spans="1:9">
      <c r="A30" s="43">
        <v>45651</v>
      </c>
      <c r="B30" s="44" t="s">
        <v>10</v>
      </c>
      <c r="C30" s="53" t="s">
        <v>643</v>
      </c>
      <c r="D30" s="47" t="s">
        <v>644</v>
      </c>
      <c r="E30" s="14" t="s">
        <v>111</v>
      </c>
      <c r="F30" s="14" t="s">
        <v>154</v>
      </c>
      <c r="G30" s="16">
        <f>2154+492+1848</f>
        <v>4494</v>
      </c>
      <c r="H30" s="16">
        <v>0.0345</v>
      </c>
      <c r="I30" s="18">
        <f t="shared" si="0"/>
        <v>155.043</v>
      </c>
    </row>
    <row r="31" ht="42" spans="1:9">
      <c r="A31" s="19">
        <v>45662</v>
      </c>
      <c r="B31" s="17" t="s">
        <v>10</v>
      </c>
      <c r="C31" s="20"/>
      <c r="D31" s="47" t="s">
        <v>122</v>
      </c>
      <c r="E31" s="14" t="s">
        <v>123</v>
      </c>
      <c r="F31" s="14" t="s">
        <v>14</v>
      </c>
      <c r="G31" s="16">
        <v>9278</v>
      </c>
      <c r="H31" s="16">
        <v>0.043</v>
      </c>
      <c r="I31" s="18">
        <f t="shared" si="0"/>
        <v>398.954</v>
      </c>
    </row>
    <row r="32" spans="1:9">
      <c r="A32" s="19">
        <v>45670</v>
      </c>
      <c r="B32" s="17" t="s">
        <v>10</v>
      </c>
      <c r="C32" s="14" t="s">
        <v>645</v>
      </c>
      <c r="D32" s="49" t="s">
        <v>646</v>
      </c>
      <c r="E32" s="14" t="s">
        <v>647</v>
      </c>
      <c r="F32" s="14" t="s">
        <v>14</v>
      </c>
      <c r="G32" s="16">
        <v>2224</v>
      </c>
      <c r="H32" s="16">
        <v>0.043</v>
      </c>
      <c r="I32" s="18">
        <f t="shared" si="0"/>
        <v>95.632</v>
      </c>
    </row>
    <row r="33" spans="1:9">
      <c r="A33" s="19"/>
      <c r="B33" s="17"/>
      <c r="C33" s="16"/>
      <c r="D33" s="49"/>
      <c r="E33" s="14"/>
      <c r="F33" s="50" t="s">
        <v>25</v>
      </c>
      <c r="G33" s="16">
        <f>2224*5</f>
        <v>11120</v>
      </c>
      <c r="H33" s="50">
        <v>0.007</v>
      </c>
      <c r="I33" s="18">
        <f t="shared" si="0"/>
        <v>77.84</v>
      </c>
    </row>
    <row r="34" spans="1:9">
      <c r="A34" s="54">
        <v>45701</v>
      </c>
      <c r="B34" s="48" t="s">
        <v>10</v>
      </c>
      <c r="C34" s="55"/>
      <c r="D34" s="47" t="s">
        <v>152</v>
      </c>
      <c r="E34" s="14" t="s">
        <v>153</v>
      </c>
      <c r="F34" s="21" t="s">
        <v>161</v>
      </c>
      <c r="G34" s="48">
        <f>(10170+4230)*1.05</f>
        <v>15120</v>
      </c>
      <c r="H34" s="37">
        <v>0.043</v>
      </c>
      <c r="I34" s="18">
        <f t="shared" si="0"/>
        <v>650.16</v>
      </c>
    </row>
    <row r="35" spans="1:9">
      <c r="A35" s="54"/>
      <c r="B35" s="48"/>
      <c r="C35" s="56"/>
      <c r="D35" s="47"/>
      <c r="E35" s="14"/>
      <c r="F35" s="14" t="s">
        <v>605</v>
      </c>
      <c r="G35" s="16">
        <v>1600</v>
      </c>
      <c r="H35" s="16">
        <v>0.036</v>
      </c>
      <c r="I35" s="18">
        <f t="shared" si="0"/>
        <v>57.6</v>
      </c>
    </row>
    <row r="36" spans="1:9">
      <c r="A36" s="54"/>
      <c r="B36" s="48"/>
      <c r="C36" s="56"/>
      <c r="D36" s="47"/>
      <c r="E36" s="14"/>
      <c r="F36" s="16" t="s">
        <v>15</v>
      </c>
      <c r="G36" s="48">
        <v>16720</v>
      </c>
      <c r="H36" s="16">
        <v>0.017</v>
      </c>
      <c r="I36" s="18">
        <f t="shared" si="0"/>
        <v>284.24</v>
      </c>
    </row>
    <row r="37" spans="1:9">
      <c r="A37" s="33">
        <v>45674</v>
      </c>
      <c r="B37" s="17" t="s">
        <v>10</v>
      </c>
      <c r="C37" s="14">
        <v>19293</v>
      </c>
      <c r="D37" s="49" t="s">
        <v>648</v>
      </c>
      <c r="E37" s="14" t="s">
        <v>649</v>
      </c>
      <c r="F37" s="14" t="s">
        <v>14</v>
      </c>
      <c r="G37" s="16">
        <v>21000</v>
      </c>
      <c r="H37" s="16">
        <v>0.043</v>
      </c>
      <c r="I37" s="18">
        <f t="shared" si="0"/>
        <v>903</v>
      </c>
    </row>
    <row r="38" spans="1:9">
      <c r="A38" s="39"/>
      <c r="B38" s="17"/>
      <c r="C38" s="16"/>
      <c r="D38" s="49"/>
      <c r="E38" s="14"/>
      <c r="F38" s="16" t="s">
        <v>15</v>
      </c>
      <c r="G38" s="16">
        <v>21000</v>
      </c>
      <c r="H38" s="16">
        <v>0.017</v>
      </c>
      <c r="I38" s="18">
        <f t="shared" si="0"/>
        <v>357</v>
      </c>
    </row>
    <row r="39" spans="1:9">
      <c r="A39" s="39"/>
      <c r="B39" s="17"/>
      <c r="C39" s="16"/>
      <c r="D39" s="49"/>
      <c r="E39" s="14"/>
      <c r="F39" s="50" t="s">
        <v>25</v>
      </c>
      <c r="G39" s="16">
        <f>21000*5</f>
        <v>105000</v>
      </c>
      <c r="H39" s="50">
        <v>0.007</v>
      </c>
      <c r="I39" s="18">
        <f t="shared" si="0"/>
        <v>735</v>
      </c>
    </row>
    <row r="40" spans="1:9">
      <c r="A40" s="43"/>
      <c r="B40" s="17"/>
      <c r="C40" s="16"/>
      <c r="D40" s="49"/>
      <c r="E40" s="14"/>
      <c r="F40" s="14" t="s">
        <v>17</v>
      </c>
      <c r="G40" s="16">
        <v>21000</v>
      </c>
      <c r="H40" s="16">
        <v>0.021</v>
      </c>
      <c r="I40" s="18">
        <f t="shared" si="0"/>
        <v>441</v>
      </c>
    </row>
    <row r="41" spans="1:9">
      <c r="A41" s="57">
        <v>45700</v>
      </c>
      <c r="B41" s="58" t="s">
        <v>10</v>
      </c>
      <c r="C41" s="58">
        <v>19293</v>
      </c>
      <c r="D41" s="59" t="s">
        <v>650</v>
      </c>
      <c r="E41" s="58" t="s">
        <v>651</v>
      </c>
      <c r="F41" s="60" t="s">
        <v>14</v>
      </c>
      <c r="G41" s="61">
        <v>5000</v>
      </c>
      <c r="H41" s="61">
        <v>0.038</v>
      </c>
      <c r="I41" s="62">
        <f t="shared" si="0"/>
        <v>190</v>
      </c>
    </row>
    <row r="42" spans="1:9">
      <c r="A42" s="57"/>
      <c r="B42" s="58"/>
      <c r="C42" s="58"/>
      <c r="D42" s="59"/>
      <c r="E42" s="63"/>
      <c r="F42" s="60" t="s">
        <v>17</v>
      </c>
      <c r="G42" s="61">
        <f>290+235+270</f>
        <v>795</v>
      </c>
      <c r="H42" s="61">
        <v>0.021</v>
      </c>
      <c r="I42" s="62">
        <f t="shared" si="0"/>
        <v>16.695</v>
      </c>
    </row>
    <row r="43" spans="1:9">
      <c r="A43" s="57"/>
      <c r="B43" s="58"/>
      <c r="C43" s="58"/>
      <c r="D43" s="59"/>
      <c r="E43" s="63"/>
      <c r="F43" s="61" t="s">
        <v>25</v>
      </c>
      <c r="G43" s="61">
        <f>(140+200+270)*5</f>
        <v>3050</v>
      </c>
      <c r="H43" s="61">
        <v>0.007</v>
      </c>
      <c r="I43" s="62">
        <f t="shared" si="0"/>
        <v>21.35</v>
      </c>
    </row>
    <row r="44" spans="1:9">
      <c r="A44" s="57">
        <v>45706</v>
      </c>
      <c r="B44" s="58" t="s">
        <v>10</v>
      </c>
      <c r="C44" s="58">
        <v>19293</v>
      </c>
      <c r="D44" s="59" t="s">
        <v>652</v>
      </c>
      <c r="E44" s="58" t="s">
        <v>653</v>
      </c>
      <c r="F44" s="60" t="s">
        <v>14</v>
      </c>
      <c r="G44" s="61">
        <v>200</v>
      </c>
      <c r="H44" s="61">
        <v>0.038</v>
      </c>
      <c r="I44" s="62">
        <f t="shared" si="0"/>
        <v>7.6</v>
      </c>
    </row>
    <row r="45" spans="1:9">
      <c r="A45" s="57"/>
      <c r="B45" s="58"/>
      <c r="C45" s="58"/>
      <c r="D45" s="59"/>
      <c r="E45" s="63"/>
      <c r="F45" s="60" t="s">
        <v>17</v>
      </c>
      <c r="G45" s="61">
        <v>200</v>
      </c>
      <c r="H45" s="61">
        <v>0.021</v>
      </c>
      <c r="I45" s="62">
        <f t="shared" si="0"/>
        <v>4.2</v>
      </c>
    </row>
    <row r="46" spans="1:9">
      <c r="A46" s="57"/>
      <c r="B46" s="58"/>
      <c r="C46" s="58"/>
      <c r="D46" s="59"/>
      <c r="E46" s="63"/>
      <c r="F46" s="61" t="s">
        <v>25</v>
      </c>
      <c r="G46" s="61">
        <f>200*5</f>
        <v>1000</v>
      </c>
      <c r="H46" s="61">
        <v>0.007</v>
      </c>
      <c r="I46" s="62">
        <f t="shared" si="0"/>
        <v>7</v>
      </c>
    </row>
    <row r="47" ht="42" spans="1:9">
      <c r="A47" s="64">
        <v>45726</v>
      </c>
      <c r="B47" s="65" t="s">
        <v>10</v>
      </c>
      <c r="C47" s="65" t="s">
        <v>244</v>
      </c>
      <c r="D47" s="66" t="s">
        <v>654</v>
      </c>
      <c r="E47" s="67" t="s">
        <v>655</v>
      </c>
      <c r="F47" s="60" t="s">
        <v>14</v>
      </c>
      <c r="G47" s="61">
        <f>836+870</f>
        <v>1706</v>
      </c>
      <c r="H47" s="61">
        <v>0.038</v>
      </c>
      <c r="I47" s="62">
        <f t="shared" si="0"/>
        <v>64.828</v>
      </c>
    </row>
    <row r="48" ht="28" spans="1:9">
      <c r="A48" s="68">
        <v>45727</v>
      </c>
      <c r="B48" s="69" t="s">
        <v>10</v>
      </c>
      <c r="C48" s="69" t="s">
        <v>244</v>
      </c>
      <c r="D48" s="59" t="s">
        <v>656</v>
      </c>
      <c r="E48" s="69" t="s">
        <v>657</v>
      </c>
      <c r="F48" s="60" t="s">
        <v>63</v>
      </c>
      <c r="G48" s="61">
        <f>302*5</f>
        <v>1510</v>
      </c>
      <c r="H48" s="61">
        <v>0.007</v>
      </c>
      <c r="I48" s="62">
        <f t="shared" si="0"/>
        <v>10.57</v>
      </c>
    </row>
    <row r="49" s="1" customFormat="1" ht="28" customHeight="1" spans="1:12">
      <c r="A49" s="70">
        <v>45731</v>
      </c>
      <c r="B49" s="71" t="s">
        <v>10</v>
      </c>
      <c r="C49" s="71" t="s">
        <v>200</v>
      </c>
      <c r="D49" s="72" t="s">
        <v>201</v>
      </c>
      <c r="E49" s="71" t="s">
        <v>202</v>
      </c>
      <c r="F49" s="60" t="s">
        <v>208</v>
      </c>
      <c r="G49" s="61">
        <f>20000*1.05</f>
        <v>21000</v>
      </c>
      <c r="H49" s="61">
        <v>0.038</v>
      </c>
      <c r="I49" s="62">
        <f t="shared" si="0"/>
        <v>798</v>
      </c>
    </row>
    <row r="50" s="1" customFormat="1" ht="28" customHeight="1" spans="1:12">
      <c r="A50" s="73"/>
      <c r="B50" s="74"/>
      <c r="C50" s="74"/>
      <c r="D50" s="75"/>
      <c r="E50" s="74"/>
      <c r="F50" s="76" t="s">
        <v>15</v>
      </c>
      <c r="G50" s="61">
        <f>20000*1.05</f>
        <v>21000</v>
      </c>
      <c r="H50" s="61">
        <v>0.017</v>
      </c>
      <c r="I50" s="62">
        <f t="shared" si="0"/>
        <v>357</v>
      </c>
    </row>
    <row r="51" s="1" customFormat="1" customHeight="1" spans="1:12">
      <c r="A51" s="70">
        <v>45739</v>
      </c>
      <c r="B51" s="70" t="s">
        <v>10</v>
      </c>
      <c r="C51" s="71" t="s">
        <v>209</v>
      </c>
      <c r="D51" s="77" t="s">
        <v>210</v>
      </c>
      <c r="E51" s="71" t="s">
        <v>211</v>
      </c>
      <c r="F51" s="60" t="s">
        <v>208</v>
      </c>
      <c r="G51" s="61">
        <v>26737</v>
      </c>
      <c r="H51" s="61">
        <v>0.038</v>
      </c>
      <c r="I51" s="62">
        <f t="shared" si="0"/>
        <v>1016.006</v>
      </c>
    </row>
    <row r="52" s="1" customFormat="1" customHeight="1" spans="1:12">
      <c r="A52" s="78"/>
      <c r="B52" s="78"/>
      <c r="C52" s="78"/>
      <c r="D52" s="79"/>
      <c r="E52" s="78"/>
      <c r="F52" s="76" t="s">
        <v>15</v>
      </c>
      <c r="G52" s="61">
        <v>26737</v>
      </c>
      <c r="H52" s="61">
        <v>0.017</v>
      </c>
      <c r="I52" s="62">
        <f t="shared" si="0"/>
        <v>454.529</v>
      </c>
    </row>
    <row r="53" s="1" customFormat="1" customHeight="1" spans="1:12">
      <c r="A53" s="70">
        <v>45740</v>
      </c>
      <c r="B53" s="70" t="s">
        <v>10</v>
      </c>
      <c r="C53" s="71" t="s">
        <v>212</v>
      </c>
      <c r="D53" s="77" t="s">
        <v>213</v>
      </c>
      <c r="E53" s="71" t="s">
        <v>214</v>
      </c>
      <c r="F53" s="60" t="s">
        <v>208</v>
      </c>
      <c r="G53" s="80">
        <v>26059</v>
      </c>
      <c r="H53" s="61">
        <v>0.038</v>
      </c>
      <c r="I53" s="62">
        <f t="shared" si="0"/>
        <v>990.242</v>
      </c>
    </row>
    <row r="54" s="1" customFormat="1" customHeight="1" spans="1:12">
      <c r="A54" s="73"/>
      <c r="B54" s="73"/>
      <c r="C54" s="73"/>
      <c r="D54" s="81"/>
      <c r="E54" s="73"/>
      <c r="F54" s="76" t="s">
        <v>15</v>
      </c>
      <c r="G54" s="80">
        <v>26059</v>
      </c>
      <c r="H54" s="61">
        <v>0.017</v>
      </c>
      <c r="I54" s="62">
        <f t="shared" si="0"/>
        <v>443.003</v>
      </c>
    </row>
    <row r="55" spans="1:12">
      <c r="A55" s="68">
        <v>45741</v>
      </c>
      <c r="B55" s="58" t="s">
        <v>10</v>
      </c>
      <c r="C55" s="58" t="s">
        <v>244</v>
      </c>
      <c r="D55" s="59" t="s">
        <v>658</v>
      </c>
      <c r="E55" s="58" t="s">
        <v>659</v>
      </c>
      <c r="F55" s="60" t="s">
        <v>14</v>
      </c>
      <c r="G55" s="61">
        <v>3075</v>
      </c>
      <c r="H55" s="61">
        <v>0.038</v>
      </c>
      <c r="I55" s="62">
        <f t="shared" si="0"/>
        <v>116.85</v>
      </c>
    </row>
    <row r="56" spans="1:12">
      <c r="A56" s="68"/>
      <c r="B56" s="58"/>
      <c r="C56" s="58"/>
      <c r="D56" s="59"/>
      <c r="E56" s="58"/>
      <c r="F56" s="60" t="s">
        <v>660</v>
      </c>
      <c r="G56" s="61">
        <v>710</v>
      </c>
      <c r="H56" s="61">
        <v>0.007</v>
      </c>
      <c r="I56" s="62">
        <f t="shared" si="0"/>
        <v>4.97</v>
      </c>
    </row>
    <row r="57" spans="1:12">
      <c r="A57" s="68"/>
      <c r="B57" s="58"/>
      <c r="C57" s="58"/>
      <c r="D57" s="59"/>
      <c r="E57" s="58"/>
      <c r="F57" s="60" t="s">
        <v>165</v>
      </c>
      <c r="G57" s="61">
        <v>15456</v>
      </c>
      <c r="H57" s="61">
        <v>0.007</v>
      </c>
      <c r="I57" s="62">
        <f t="shared" si="0"/>
        <v>108.192</v>
      </c>
    </row>
    <row r="58" spans="1:12">
      <c r="A58" s="68"/>
      <c r="B58" s="58"/>
      <c r="C58" s="58"/>
      <c r="D58" s="59"/>
      <c r="E58" s="58"/>
      <c r="F58" s="60" t="s">
        <v>109</v>
      </c>
      <c r="G58" s="61">
        <v>1670</v>
      </c>
      <c r="H58" s="61">
        <v>0.014</v>
      </c>
      <c r="I58" s="62">
        <f t="shared" si="0"/>
        <v>23.38</v>
      </c>
    </row>
    <row r="59" spans="1:12">
      <c r="A59" s="68"/>
      <c r="B59" s="58"/>
      <c r="C59" s="58"/>
      <c r="D59" s="59"/>
      <c r="E59" s="58"/>
      <c r="F59" s="60" t="s">
        <v>661</v>
      </c>
      <c r="G59" s="61">
        <v>232</v>
      </c>
      <c r="H59" s="61">
        <v>0.007</v>
      </c>
      <c r="I59" s="62">
        <f t="shared" si="0"/>
        <v>1.624</v>
      </c>
    </row>
    <row r="60" s="1" customFormat="1" customHeight="1" spans="1:12">
      <c r="A60" s="70">
        <v>45754</v>
      </c>
      <c r="B60" s="70" t="s">
        <v>10</v>
      </c>
      <c r="C60" s="71" t="s">
        <v>228</v>
      </c>
      <c r="D60" s="77" t="s">
        <v>229</v>
      </c>
      <c r="E60" s="71" t="s">
        <v>230</v>
      </c>
      <c r="F60" s="60" t="s">
        <v>208</v>
      </c>
      <c r="G60" s="80">
        <v>10500</v>
      </c>
      <c r="H60" s="61">
        <v>0.038</v>
      </c>
      <c r="I60" s="62">
        <f t="shared" si="0"/>
        <v>399</v>
      </c>
    </row>
    <row r="61" s="1" customFormat="1" customHeight="1" spans="1:12">
      <c r="A61" s="78"/>
      <c r="B61" s="78"/>
      <c r="C61" s="78"/>
      <c r="D61" s="79"/>
      <c r="E61" s="78"/>
      <c r="F61" s="76" t="s">
        <v>15</v>
      </c>
      <c r="G61" s="80">
        <v>10500</v>
      </c>
      <c r="H61" s="61">
        <v>0.017</v>
      </c>
      <c r="I61" s="62">
        <f t="shared" si="0"/>
        <v>178.5</v>
      </c>
    </row>
    <row r="62" s="1" customFormat="1" ht="42" spans="1:12">
      <c r="A62" s="68">
        <v>45755</v>
      </c>
      <c r="B62" s="69" t="s">
        <v>10</v>
      </c>
      <c r="C62" s="58" t="s">
        <v>662</v>
      </c>
      <c r="D62" s="59" t="s">
        <v>663</v>
      </c>
      <c r="E62" s="58" t="s">
        <v>664</v>
      </c>
      <c r="F62" s="60" t="s">
        <v>154</v>
      </c>
      <c r="G62" s="61">
        <v>1438</v>
      </c>
      <c r="H62" s="61">
        <v>0.0345</v>
      </c>
      <c r="I62" s="62">
        <f t="shared" si="0"/>
        <v>49.611</v>
      </c>
      <c r="L62" s="31"/>
    </row>
    <row r="63" spans="1:12">
      <c r="A63" s="68">
        <v>45760</v>
      </c>
      <c r="B63" s="69" t="s">
        <v>10</v>
      </c>
      <c r="C63" s="69" t="s">
        <v>253</v>
      </c>
      <c r="D63" s="59" t="s">
        <v>254</v>
      </c>
      <c r="E63" s="58" t="s">
        <v>255</v>
      </c>
      <c r="F63" s="60" t="s">
        <v>14</v>
      </c>
      <c r="G63" s="61">
        <v>21000</v>
      </c>
      <c r="H63" s="61">
        <v>0.036</v>
      </c>
      <c r="I63" s="62">
        <f t="shared" si="0"/>
        <v>756</v>
      </c>
    </row>
    <row r="64" spans="1:12">
      <c r="A64" s="68"/>
      <c r="B64" s="69"/>
      <c r="C64" s="69"/>
      <c r="D64" s="59"/>
      <c r="E64" s="69"/>
      <c r="F64" s="76" t="s">
        <v>15</v>
      </c>
      <c r="G64" s="61">
        <v>21000</v>
      </c>
      <c r="H64" s="61">
        <v>0.017</v>
      </c>
      <c r="I64" s="62">
        <f t="shared" si="0"/>
        <v>357</v>
      </c>
    </row>
    <row r="65" ht="34" customHeight="1" spans="1:9">
      <c r="A65" s="68">
        <v>45770</v>
      </c>
      <c r="B65" s="69" t="s">
        <v>10</v>
      </c>
      <c r="C65" s="58" t="s">
        <v>263</v>
      </c>
      <c r="D65" s="59" t="s">
        <v>264</v>
      </c>
      <c r="E65" s="58" t="s">
        <v>265</v>
      </c>
      <c r="F65" s="60" t="s">
        <v>154</v>
      </c>
      <c r="G65" s="61">
        <f>278+221+220</f>
        <v>719</v>
      </c>
      <c r="H65" s="61">
        <v>0.0345</v>
      </c>
      <c r="I65" s="62">
        <f t="shared" si="0"/>
        <v>24.8055</v>
      </c>
    </row>
    <row r="66" spans="1:9">
      <c r="A66" s="82">
        <v>45773</v>
      </c>
      <c r="B66" s="60" t="s">
        <v>10</v>
      </c>
      <c r="C66" s="60">
        <v>25127</v>
      </c>
      <c r="D66" s="83" t="s">
        <v>269</v>
      </c>
      <c r="E66" s="60" t="s">
        <v>270</v>
      </c>
      <c r="F66" s="76" t="s">
        <v>25</v>
      </c>
      <c r="G66" s="76">
        <f>26251*5</f>
        <v>131255</v>
      </c>
      <c r="H66" s="76">
        <v>0.007</v>
      </c>
      <c r="I66" s="62">
        <f t="shared" si="0"/>
        <v>918.785</v>
      </c>
    </row>
    <row r="67" spans="1:9">
      <c r="A67" s="82"/>
      <c r="B67" s="60"/>
      <c r="C67" s="60"/>
      <c r="D67" s="83"/>
      <c r="E67" s="60"/>
      <c r="F67" s="60" t="s">
        <v>17</v>
      </c>
      <c r="G67" s="76">
        <v>26251</v>
      </c>
      <c r="H67" s="76">
        <v>0.021</v>
      </c>
      <c r="I67" s="62">
        <f>G67*H67</f>
        <v>551.271</v>
      </c>
    </row>
    <row r="68" spans="1:9">
      <c r="A68" s="84">
        <v>45785</v>
      </c>
      <c r="B68" s="85" t="s">
        <v>10</v>
      </c>
      <c r="C68" s="86">
        <v>23863</v>
      </c>
      <c r="D68" s="87" t="s">
        <v>665</v>
      </c>
      <c r="E68" s="88" t="s">
        <v>666</v>
      </c>
      <c r="F68" s="89" t="s">
        <v>667</v>
      </c>
      <c r="G68" s="90">
        <v>10502</v>
      </c>
      <c r="H68" s="91">
        <v>0.035</v>
      </c>
      <c r="I68" s="92">
        <f>G68*H68</f>
        <v>367.57</v>
      </c>
    </row>
    <row r="69" spans="1:9">
      <c r="A69" s="84"/>
      <c r="B69" s="85"/>
      <c r="C69" s="86"/>
      <c r="D69" s="87"/>
      <c r="E69" s="88"/>
      <c r="F69" s="89" t="s">
        <v>15</v>
      </c>
      <c r="G69" s="90">
        <v>10502</v>
      </c>
      <c r="H69" s="91">
        <v>0.017</v>
      </c>
      <c r="I69" s="92">
        <f>G69*H69</f>
        <v>178.534</v>
      </c>
    </row>
    <row r="70" ht="42" customHeight="1" spans="1:9">
      <c r="A70" s="84">
        <v>45796</v>
      </c>
      <c r="B70" s="93" t="s">
        <v>10</v>
      </c>
      <c r="C70" s="93" t="s">
        <v>284</v>
      </c>
      <c r="D70" s="94" t="s">
        <v>668</v>
      </c>
      <c r="E70" s="88" t="s">
        <v>669</v>
      </c>
      <c r="F70" s="89" t="s">
        <v>259</v>
      </c>
      <c r="G70" s="91">
        <v>1975</v>
      </c>
      <c r="H70" s="91">
        <v>0.1</v>
      </c>
      <c r="I70" s="92">
        <f>G70*H70</f>
        <v>197.5</v>
      </c>
    </row>
    <row r="71" spans="1:9">
      <c r="I71" s="31">
        <f>SUM(I3:I70)</f>
        <v>28889.6303</v>
      </c>
    </row>
  </sheetData>
  <autoFilter xmlns:etc="http://www.wps.cn/officeDocument/2017/etCustomData" ref="A1:I71" etc:filterBottomFollowUsedRange="0">
    <extLst/>
  </autoFilter>
  <mergeCells count="94">
    <mergeCell ref="A1:I1"/>
    <mergeCell ref="A3:A5"/>
    <mergeCell ref="A6:A7"/>
    <mergeCell ref="A8:A9"/>
    <mergeCell ref="A11:A14"/>
    <mergeCell ref="A17:A20"/>
    <mergeCell ref="A32:A33"/>
    <mergeCell ref="A34:A36"/>
    <mergeCell ref="A37:A40"/>
    <mergeCell ref="A41:A43"/>
    <mergeCell ref="A44:A46"/>
    <mergeCell ref="A49:A50"/>
    <mergeCell ref="A51:A52"/>
    <mergeCell ref="A53:A54"/>
    <mergeCell ref="A55:A59"/>
    <mergeCell ref="A60:A61"/>
    <mergeCell ref="A63:A64"/>
    <mergeCell ref="A66:A67"/>
    <mergeCell ref="A68:A69"/>
    <mergeCell ref="B3:B5"/>
    <mergeCell ref="B6:B7"/>
    <mergeCell ref="B8:B9"/>
    <mergeCell ref="B11:B14"/>
    <mergeCell ref="B17:B20"/>
    <mergeCell ref="B32:B33"/>
    <mergeCell ref="B34:B36"/>
    <mergeCell ref="B37:B40"/>
    <mergeCell ref="B41:B43"/>
    <mergeCell ref="B44:B46"/>
    <mergeCell ref="B49:B50"/>
    <mergeCell ref="B51:B52"/>
    <mergeCell ref="B53:B54"/>
    <mergeCell ref="B55:B59"/>
    <mergeCell ref="B60:B61"/>
    <mergeCell ref="B63:B64"/>
    <mergeCell ref="B66:B67"/>
    <mergeCell ref="B68:B69"/>
    <mergeCell ref="C3:C5"/>
    <mergeCell ref="C6:C7"/>
    <mergeCell ref="C8:C9"/>
    <mergeCell ref="C11:C14"/>
    <mergeCell ref="C17:C18"/>
    <mergeCell ref="C19:C20"/>
    <mergeCell ref="C32:C33"/>
    <mergeCell ref="C34:C36"/>
    <mergeCell ref="C37:C40"/>
    <mergeCell ref="C41:C43"/>
    <mergeCell ref="C44:C46"/>
    <mergeCell ref="C49:C50"/>
    <mergeCell ref="C51:C52"/>
    <mergeCell ref="C53:C54"/>
    <mergeCell ref="C55:C59"/>
    <mergeCell ref="C60:C61"/>
    <mergeCell ref="C63:C64"/>
    <mergeCell ref="C66:C67"/>
    <mergeCell ref="C68:C69"/>
    <mergeCell ref="D3:D5"/>
    <mergeCell ref="D6:D7"/>
    <mergeCell ref="D8:D9"/>
    <mergeCell ref="D11:D14"/>
    <mergeCell ref="D17:D18"/>
    <mergeCell ref="D19:D20"/>
    <mergeCell ref="D32:D33"/>
    <mergeCell ref="D34:D36"/>
    <mergeCell ref="D37:D40"/>
    <mergeCell ref="D41:D43"/>
    <mergeCell ref="D44:D46"/>
    <mergeCell ref="D49:D50"/>
    <mergeCell ref="D51:D52"/>
    <mergeCell ref="D53:D54"/>
    <mergeCell ref="D55:D59"/>
    <mergeCell ref="D60:D61"/>
    <mergeCell ref="D63:D64"/>
    <mergeCell ref="D66:D67"/>
    <mergeCell ref="D68:D69"/>
    <mergeCell ref="E3:E5"/>
    <mergeCell ref="E6:E7"/>
    <mergeCell ref="E8:E9"/>
    <mergeCell ref="E11:E14"/>
    <mergeCell ref="E17:E18"/>
    <mergeCell ref="E19:E20"/>
    <mergeCell ref="E32:E33"/>
    <mergeCell ref="E34:E36"/>
    <mergeCell ref="E37:E40"/>
    <mergeCell ref="E41:E43"/>
    <mergeCell ref="E44:E46"/>
    <mergeCell ref="E49:E50"/>
    <mergeCell ref="E51:E52"/>
    <mergeCell ref="E53:E54"/>
    <mergeCell ref="E55:E59"/>
    <mergeCell ref="E60:E61"/>
    <mergeCell ref="E63:E64"/>
    <mergeCell ref="E66:E67"/>
    <mergeCell ref="E68:E69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11" workbookViewId="0">
      <selection activeCell="I3" sqref="I3:I40"/>
    </sheetView>
  </sheetViews>
  <sheetFormatPr defaultColWidth="8.72727272727273" defaultRowHeight="14"/>
  <cols>
    <col min="1" max="2" width="14.9090909090909" style="1" customWidth="1"/>
    <col min="3" max="3" width="6.54545454545455" style="1" customWidth="1"/>
    <col min="4" max="4" width="15.0909090909091" style="1" customWidth="1"/>
    <col min="5" max="5" width="28.5454545454545" style="1" customWidth="1"/>
    <col min="6" max="6" width="44.8272727272727" style="1" customWidth="1"/>
    <col min="7" max="8" width="11" style="1" customWidth="1"/>
    <col min="9" max="9" width="14.9090909090909" style="2" customWidth="1"/>
    <col min="10" max="10" width="11.7272727272727" style="1"/>
    <col min="11" max="11" width="9.54545454545454" style="1"/>
    <col min="12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6"/>
    </row>
    <row r="2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2" t="s">
        <v>601</v>
      </c>
    </row>
    <row r="3" ht="42" spans="1:9">
      <c r="A3" s="13">
        <v>45839</v>
      </c>
      <c r="B3" s="14" t="s">
        <v>10</v>
      </c>
      <c r="C3" s="14" t="s">
        <v>398</v>
      </c>
      <c r="D3" s="15" t="s">
        <v>670</v>
      </c>
      <c r="E3" s="14" t="s">
        <v>671</v>
      </c>
      <c r="F3" s="14" t="s">
        <v>14</v>
      </c>
      <c r="G3" s="16">
        <f>1400+2620</f>
        <v>4020</v>
      </c>
      <c r="H3" s="16">
        <v>0.036</v>
      </c>
      <c r="I3" s="16">
        <f t="shared" ref="I3:I40" si="0">G3*H3</f>
        <v>144.72</v>
      </c>
    </row>
    <row r="4" spans="1:9">
      <c r="A4" s="13">
        <v>45843</v>
      </c>
      <c r="B4" s="14" t="s">
        <v>10</v>
      </c>
      <c r="C4" s="14">
        <v>83720</v>
      </c>
      <c r="D4" s="15" t="s">
        <v>422</v>
      </c>
      <c r="E4" s="14" t="s">
        <v>423</v>
      </c>
      <c r="F4" s="14" t="s">
        <v>14</v>
      </c>
      <c r="G4" s="17">
        <f>7280+1143</f>
        <v>8423</v>
      </c>
      <c r="H4" s="17">
        <v>0.036</v>
      </c>
      <c r="I4" s="18">
        <f t="shared" si="0"/>
        <v>303.228</v>
      </c>
    </row>
    <row r="5" spans="1:9">
      <c r="A5" s="13"/>
      <c r="B5" s="14"/>
      <c r="C5" s="14"/>
      <c r="D5" s="15"/>
      <c r="E5" s="14"/>
      <c r="F5" s="16" t="s">
        <v>15</v>
      </c>
      <c r="G5" s="17">
        <v>8423</v>
      </c>
      <c r="H5" s="17">
        <v>0.017</v>
      </c>
      <c r="I5" s="18">
        <f t="shared" si="0"/>
        <v>143.191</v>
      </c>
    </row>
    <row r="6" ht="28" spans="1:9">
      <c r="A6" s="19">
        <v>45852</v>
      </c>
      <c r="B6" s="20" t="s">
        <v>10</v>
      </c>
      <c r="C6" s="21" t="s">
        <v>398</v>
      </c>
      <c r="D6" s="22" t="s">
        <v>672</v>
      </c>
      <c r="E6" s="21" t="s">
        <v>673</v>
      </c>
      <c r="F6" s="14" t="s">
        <v>376</v>
      </c>
      <c r="G6" s="17">
        <v>500</v>
      </c>
      <c r="H6" s="17">
        <v>0.15</v>
      </c>
      <c r="I6" s="16">
        <f t="shared" si="0"/>
        <v>75</v>
      </c>
    </row>
    <row r="7" ht="28" spans="1:9">
      <c r="A7" s="19">
        <v>45852</v>
      </c>
      <c r="B7" s="20" t="s">
        <v>10</v>
      </c>
      <c r="C7" s="20" t="s">
        <v>398</v>
      </c>
      <c r="D7" s="22" t="s">
        <v>674</v>
      </c>
      <c r="E7" s="21" t="s">
        <v>675</v>
      </c>
      <c r="F7" s="14" t="s">
        <v>14</v>
      </c>
      <c r="G7" s="17">
        <v>440</v>
      </c>
      <c r="H7" s="17">
        <v>0.036</v>
      </c>
      <c r="I7" s="16">
        <f t="shared" si="0"/>
        <v>15.84</v>
      </c>
    </row>
    <row r="8" ht="42" spans="1:9">
      <c r="A8" s="13">
        <v>45852</v>
      </c>
      <c r="B8" s="14" t="s">
        <v>10</v>
      </c>
      <c r="C8" s="14" t="s">
        <v>398</v>
      </c>
      <c r="D8" s="15" t="s">
        <v>676</v>
      </c>
      <c r="E8" s="14" t="s">
        <v>677</v>
      </c>
      <c r="F8" s="14" t="s">
        <v>14</v>
      </c>
      <c r="G8" s="16">
        <f>280+80+630+470+300+400+921</f>
        <v>3081</v>
      </c>
      <c r="H8" s="16">
        <v>0.036</v>
      </c>
      <c r="I8" s="18">
        <f t="shared" si="0"/>
        <v>110.916</v>
      </c>
    </row>
    <row r="9" spans="1:9">
      <c r="A9" s="13">
        <v>45852</v>
      </c>
      <c r="B9" s="14" t="s">
        <v>10</v>
      </c>
      <c r="C9" s="14" t="s">
        <v>398</v>
      </c>
      <c r="D9" s="15" t="s">
        <v>678</v>
      </c>
      <c r="E9" s="14" t="s">
        <v>679</v>
      </c>
      <c r="F9" s="14" t="s">
        <v>14</v>
      </c>
      <c r="G9" s="16">
        <f>420+2150+250</f>
        <v>2820</v>
      </c>
      <c r="H9" s="17">
        <v>0.036</v>
      </c>
      <c r="I9" s="16">
        <f t="shared" si="0"/>
        <v>101.52</v>
      </c>
    </row>
    <row r="10" spans="1:9">
      <c r="A10" s="13"/>
      <c r="B10" s="14"/>
      <c r="C10" s="14"/>
      <c r="D10" s="15"/>
      <c r="E10" s="14"/>
      <c r="F10" s="16" t="s">
        <v>28</v>
      </c>
      <c r="G10" s="16">
        <f>2820*4</f>
        <v>11280</v>
      </c>
      <c r="H10" s="16">
        <v>0.007</v>
      </c>
      <c r="I10" s="16">
        <f t="shared" si="0"/>
        <v>78.96</v>
      </c>
    </row>
    <row r="11" ht="28" spans="1:9">
      <c r="A11" s="19">
        <v>45857</v>
      </c>
      <c r="B11" s="20" t="s">
        <v>10</v>
      </c>
      <c r="C11" s="21" t="s">
        <v>398</v>
      </c>
      <c r="D11" s="22" t="s">
        <v>680</v>
      </c>
      <c r="E11" s="21" t="s">
        <v>681</v>
      </c>
      <c r="F11" s="14" t="s">
        <v>376</v>
      </c>
      <c r="G11" s="17">
        <v>10000</v>
      </c>
      <c r="H11" s="17">
        <v>0.15</v>
      </c>
      <c r="I11" s="16">
        <f t="shared" si="0"/>
        <v>1500</v>
      </c>
    </row>
    <row r="12" ht="28" spans="1:9">
      <c r="A12" s="13">
        <v>45866</v>
      </c>
      <c r="B12" s="23" t="s">
        <v>10</v>
      </c>
      <c r="C12" s="23" t="s">
        <v>398</v>
      </c>
      <c r="D12" s="24" t="s">
        <v>682</v>
      </c>
      <c r="E12" s="23" t="s">
        <v>683</v>
      </c>
      <c r="F12" s="23" t="s">
        <v>684</v>
      </c>
      <c r="G12" s="25">
        <v>3600</v>
      </c>
      <c r="H12" s="25">
        <v>0.021</v>
      </c>
      <c r="I12" s="16">
        <f t="shared" si="0"/>
        <v>75.6</v>
      </c>
    </row>
    <row r="13" spans="1:9">
      <c r="A13" s="13">
        <v>45878</v>
      </c>
      <c r="B13" s="23" t="s">
        <v>10</v>
      </c>
      <c r="C13" s="23" t="s">
        <v>398</v>
      </c>
      <c r="D13" s="24" t="s">
        <v>685</v>
      </c>
      <c r="E13" s="23" t="s">
        <v>686</v>
      </c>
      <c r="F13" s="25" t="s">
        <v>25</v>
      </c>
      <c r="G13" s="25">
        <f>1680*5</f>
        <v>8400</v>
      </c>
      <c r="H13" s="25">
        <v>0.007</v>
      </c>
      <c r="I13" s="16">
        <f t="shared" si="0"/>
        <v>58.8</v>
      </c>
    </row>
    <row r="14" spans="1:9">
      <c r="A14" s="13"/>
      <c r="B14" s="23"/>
      <c r="C14" s="23"/>
      <c r="D14" s="24"/>
      <c r="E14" s="23"/>
      <c r="F14" s="23" t="s">
        <v>17</v>
      </c>
      <c r="G14" s="25">
        <v>1680</v>
      </c>
      <c r="H14" s="25">
        <v>0.021</v>
      </c>
      <c r="I14" s="16">
        <f t="shared" si="0"/>
        <v>35.28</v>
      </c>
    </row>
    <row r="15" spans="1:9">
      <c r="A15" s="13"/>
      <c r="B15" s="23"/>
      <c r="C15" s="23"/>
      <c r="D15" s="24"/>
      <c r="E15" s="23"/>
      <c r="F15" s="23" t="s">
        <v>14</v>
      </c>
      <c r="G15" s="25">
        <f>440+1240</f>
        <v>1680</v>
      </c>
      <c r="H15" s="25">
        <v>0.036</v>
      </c>
      <c r="I15" s="16">
        <f t="shared" si="0"/>
        <v>60.48</v>
      </c>
    </row>
    <row r="16" spans="1:9">
      <c r="A16" s="13">
        <v>45880</v>
      </c>
      <c r="B16" s="23" t="s">
        <v>10</v>
      </c>
      <c r="C16" s="23" t="s">
        <v>244</v>
      </c>
      <c r="D16" s="24" t="s">
        <v>687</v>
      </c>
      <c r="E16" s="23" t="s">
        <v>688</v>
      </c>
      <c r="F16" s="23" t="s">
        <v>14</v>
      </c>
      <c r="G16" s="25">
        <f>3578+1320+460+180</f>
        <v>5538</v>
      </c>
      <c r="H16" s="25">
        <v>0.036</v>
      </c>
      <c r="I16" s="18">
        <f t="shared" si="0"/>
        <v>199.368</v>
      </c>
    </row>
    <row r="17" spans="1:9">
      <c r="A17" s="13"/>
      <c r="B17" s="23"/>
      <c r="C17" s="23"/>
      <c r="D17" s="24"/>
      <c r="E17" s="23"/>
      <c r="F17" s="25" t="s">
        <v>28</v>
      </c>
      <c r="G17" s="25">
        <f>5538*4</f>
        <v>22152</v>
      </c>
      <c r="H17" s="25">
        <v>0.007</v>
      </c>
      <c r="I17" s="18">
        <f t="shared" si="0"/>
        <v>155.064</v>
      </c>
    </row>
    <row r="18" spans="1:9">
      <c r="A18" s="13"/>
      <c r="B18" s="23"/>
      <c r="C18" s="23"/>
      <c r="D18" s="24"/>
      <c r="E18" s="23"/>
      <c r="F18" s="23" t="s">
        <v>17</v>
      </c>
      <c r="G18" s="25">
        <v>5538</v>
      </c>
      <c r="H18" s="25">
        <v>0.021</v>
      </c>
      <c r="I18" s="18">
        <f t="shared" si="0"/>
        <v>116.298</v>
      </c>
    </row>
    <row r="19" spans="1:9">
      <c r="A19" s="19">
        <v>45881</v>
      </c>
      <c r="B19" s="26" t="s">
        <v>10</v>
      </c>
      <c r="C19" s="23" t="s">
        <v>244</v>
      </c>
      <c r="D19" s="27" t="s">
        <v>465</v>
      </c>
      <c r="E19" s="28" t="s">
        <v>466</v>
      </c>
      <c r="F19" s="25" t="s">
        <v>63</v>
      </c>
      <c r="G19" s="29">
        <f>3038*5</f>
        <v>15190</v>
      </c>
      <c r="H19" s="25">
        <v>0.007</v>
      </c>
      <c r="I19" s="18">
        <f t="shared" si="0"/>
        <v>106.33</v>
      </c>
    </row>
    <row r="20" ht="28" spans="1:9">
      <c r="A20" s="19"/>
      <c r="B20" s="26"/>
      <c r="C20" s="23"/>
      <c r="D20" s="27"/>
      <c r="E20" s="26"/>
      <c r="F20" s="23" t="s">
        <v>57</v>
      </c>
      <c r="G20" s="29">
        <v>3038</v>
      </c>
      <c r="H20" s="25">
        <v>0.041</v>
      </c>
      <c r="I20" s="18">
        <f t="shared" si="0"/>
        <v>124.558</v>
      </c>
    </row>
    <row r="21" ht="42" spans="1:9">
      <c r="A21" s="13">
        <v>45883</v>
      </c>
      <c r="B21" s="23" t="s">
        <v>10</v>
      </c>
      <c r="C21" s="23" t="s">
        <v>244</v>
      </c>
      <c r="D21" s="24" t="s">
        <v>689</v>
      </c>
      <c r="E21" s="23" t="s">
        <v>690</v>
      </c>
      <c r="F21" s="23" t="s">
        <v>14</v>
      </c>
      <c r="G21" s="25">
        <f>300+75</f>
        <v>375</v>
      </c>
      <c r="H21" s="25">
        <v>0.036</v>
      </c>
      <c r="I21" s="16">
        <f t="shared" si="0"/>
        <v>13.5</v>
      </c>
    </row>
    <row r="22" spans="1:9">
      <c r="A22" s="13">
        <v>45884</v>
      </c>
      <c r="B22" s="23" t="s">
        <v>10</v>
      </c>
      <c r="C22" s="23" t="s">
        <v>244</v>
      </c>
      <c r="D22" s="24" t="s">
        <v>691</v>
      </c>
      <c r="E22" s="23" t="s">
        <v>692</v>
      </c>
      <c r="F22" s="23" t="s">
        <v>14</v>
      </c>
      <c r="G22" s="25">
        <f>3700+2300+1600</f>
        <v>7600</v>
      </c>
      <c r="H22" s="25">
        <v>0.036</v>
      </c>
      <c r="I22" s="16">
        <f t="shared" si="0"/>
        <v>273.6</v>
      </c>
    </row>
    <row r="23" spans="1:9">
      <c r="A23" s="13"/>
      <c r="B23" s="23"/>
      <c r="C23" s="23"/>
      <c r="D23" s="24"/>
      <c r="E23" s="23"/>
      <c r="F23" s="25" t="s">
        <v>15</v>
      </c>
      <c r="G23" s="25">
        <f>1000+2000</f>
        <v>3000</v>
      </c>
      <c r="H23" s="25">
        <v>0.017</v>
      </c>
      <c r="I23" s="16">
        <f t="shared" si="0"/>
        <v>51</v>
      </c>
    </row>
    <row r="24" spans="1:9">
      <c r="A24" s="13"/>
      <c r="B24" s="23"/>
      <c r="C24" s="23"/>
      <c r="D24" s="24"/>
      <c r="E24" s="23"/>
      <c r="F24" s="25" t="s">
        <v>74</v>
      </c>
      <c r="G24" s="25">
        <f>3700+2300+3300</f>
        <v>9300</v>
      </c>
      <c r="H24" s="25">
        <v>0.007</v>
      </c>
      <c r="I24" s="16">
        <f t="shared" si="0"/>
        <v>65.1</v>
      </c>
    </row>
    <row r="25" spans="1:9">
      <c r="A25" s="13"/>
      <c r="B25" s="23"/>
      <c r="C25" s="23"/>
      <c r="D25" s="24"/>
      <c r="E25" s="23"/>
      <c r="F25" s="23" t="s">
        <v>17</v>
      </c>
      <c r="G25" s="25">
        <f>3700+2300+3300</f>
        <v>9300</v>
      </c>
      <c r="H25" s="25">
        <v>0.021</v>
      </c>
      <c r="I25" s="16">
        <f t="shared" si="0"/>
        <v>195.3</v>
      </c>
    </row>
    <row r="26" spans="1:9">
      <c r="A26" s="13">
        <v>45846</v>
      </c>
      <c r="B26" s="14" t="s">
        <v>10</v>
      </c>
      <c r="C26" s="14" t="s">
        <v>472</v>
      </c>
      <c r="D26" s="15" t="s">
        <v>473</v>
      </c>
      <c r="E26" s="14" t="s">
        <v>474</v>
      </c>
      <c r="F26" s="14" t="s">
        <v>161</v>
      </c>
      <c r="G26" s="16">
        <v>8000</v>
      </c>
      <c r="H26" s="25">
        <v>0.036</v>
      </c>
      <c r="I26" s="16">
        <f t="shared" si="0"/>
        <v>288</v>
      </c>
    </row>
    <row r="27" spans="1:9">
      <c r="A27" s="13"/>
      <c r="B27" s="14"/>
      <c r="C27" s="30"/>
      <c r="D27" s="15"/>
      <c r="E27" s="14"/>
      <c r="F27" s="16" t="s">
        <v>15</v>
      </c>
      <c r="G27" s="16">
        <v>8000</v>
      </c>
      <c r="H27" s="25">
        <v>0.017</v>
      </c>
      <c r="I27" s="16">
        <f t="shared" si="0"/>
        <v>136</v>
      </c>
    </row>
    <row r="28" ht="84" spans="1:9">
      <c r="A28" s="13">
        <v>45888</v>
      </c>
      <c r="B28" s="14" t="s">
        <v>10</v>
      </c>
      <c r="C28" s="14" t="s">
        <v>693</v>
      </c>
      <c r="D28" s="15" t="s">
        <v>694</v>
      </c>
      <c r="E28" s="14" t="s">
        <v>695</v>
      </c>
      <c r="F28" s="14" t="s">
        <v>161</v>
      </c>
      <c r="G28" s="16">
        <f>5498*2</f>
        <v>10996</v>
      </c>
      <c r="H28" s="25">
        <v>0.036</v>
      </c>
      <c r="I28" s="18">
        <f t="shared" si="0"/>
        <v>395.856</v>
      </c>
    </row>
    <row r="29" ht="28" spans="1:9">
      <c r="A29" s="13">
        <v>45900</v>
      </c>
      <c r="B29" s="14" t="s">
        <v>10</v>
      </c>
      <c r="C29" s="14" t="s">
        <v>244</v>
      </c>
      <c r="D29" s="15" t="s">
        <v>696</v>
      </c>
      <c r="E29" s="14" t="s">
        <v>697</v>
      </c>
      <c r="F29" s="14" t="s">
        <v>259</v>
      </c>
      <c r="G29" s="16">
        <v>1000</v>
      </c>
      <c r="H29" s="25">
        <v>0.1</v>
      </c>
      <c r="I29" s="16">
        <f t="shared" si="0"/>
        <v>100</v>
      </c>
    </row>
    <row r="30" spans="1:9">
      <c r="A30" s="13">
        <v>45903</v>
      </c>
      <c r="B30" s="14" t="s">
        <v>10</v>
      </c>
      <c r="C30" s="14">
        <v>83703</v>
      </c>
      <c r="D30" s="15" t="s">
        <v>698</v>
      </c>
      <c r="E30" s="14" t="s">
        <v>699</v>
      </c>
      <c r="F30" s="14" t="s">
        <v>700</v>
      </c>
      <c r="G30" s="17">
        <f>90+5+65+5+18+12+30</f>
        <v>225</v>
      </c>
      <c r="H30" s="29">
        <v>0.15</v>
      </c>
      <c r="I30" s="16">
        <f t="shared" si="0"/>
        <v>33.75</v>
      </c>
    </row>
    <row r="31" spans="1:9">
      <c r="A31" s="13"/>
      <c r="B31" s="14"/>
      <c r="C31" s="14"/>
      <c r="D31" s="15"/>
      <c r="E31" s="14"/>
      <c r="F31" s="14" t="s">
        <v>701</v>
      </c>
      <c r="G31" s="17">
        <v>2</v>
      </c>
      <c r="H31" s="29">
        <v>0</v>
      </c>
      <c r="I31" s="16">
        <f t="shared" si="0"/>
        <v>0</v>
      </c>
    </row>
    <row r="32" spans="1:9">
      <c r="A32" s="13">
        <v>45905</v>
      </c>
      <c r="B32" s="14" t="s">
        <v>10</v>
      </c>
      <c r="C32" s="14">
        <v>89710</v>
      </c>
      <c r="D32" s="15" t="s">
        <v>702</v>
      </c>
      <c r="E32" s="14" t="s">
        <v>703</v>
      </c>
      <c r="F32" s="14" t="s">
        <v>14</v>
      </c>
      <c r="G32" s="16">
        <v>23898</v>
      </c>
      <c r="H32" s="25">
        <v>0.036</v>
      </c>
      <c r="I32" s="18">
        <f t="shared" si="0"/>
        <v>860.328</v>
      </c>
    </row>
    <row r="33" spans="1:9">
      <c r="A33" s="13"/>
      <c r="B33" s="14"/>
      <c r="C33" s="14"/>
      <c r="D33" s="15"/>
      <c r="E33" s="14"/>
      <c r="F33" s="16" t="s">
        <v>15</v>
      </c>
      <c r="G33" s="16">
        <v>23898</v>
      </c>
      <c r="H33" s="25">
        <v>0.017</v>
      </c>
      <c r="I33" s="18">
        <f t="shared" si="0"/>
        <v>406.266</v>
      </c>
    </row>
    <row r="34" spans="1:9">
      <c r="A34" s="13"/>
      <c r="B34" s="14"/>
      <c r="C34" s="14"/>
      <c r="D34" s="15"/>
      <c r="E34" s="14"/>
      <c r="F34" s="16" t="s">
        <v>28</v>
      </c>
      <c r="G34" s="16">
        <f>23898*4</f>
        <v>95592</v>
      </c>
      <c r="H34" s="25">
        <v>0.007</v>
      </c>
      <c r="I34" s="18">
        <f t="shared" si="0"/>
        <v>669.144</v>
      </c>
    </row>
    <row r="35" spans="1:9">
      <c r="A35" s="13"/>
      <c r="B35" s="14"/>
      <c r="C35" s="14"/>
      <c r="D35" s="15"/>
      <c r="E35" s="14"/>
      <c r="F35" s="14" t="s">
        <v>512</v>
      </c>
      <c r="G35" s="16">
        <v>23898</v>
      </c>
      <c r="H35" s="25">
        <v>0.021</v>
      </c>
      <c r="I35" s="18">
        <f t="shared" si="0"/>
        <v>501.858</v>
      </c>
    </row>
    <row r="36" ht="28" spans="1:9">
      <c r="A36" s="19">
        <v>45907</v>
      </c>
      <c r="B36" s="20" t="s">
        <v>10</v>
      </c>
      <c r="C36" s="14">
        <v>78294</v>
      </c>
      <c r="D36" s="22" t="s">
        <v>704</v>
      </c>
      <c r="E36" s="21" t="s">
        <v>705</v>
      </c>
      <c r="F36" s="16" t="s">
        <v>57</v>
      </c>
      <c r="G36" s="17">
        <v>90</v>
      </c>
      <c r="H36" s="25">
        <v>0.041</v>
      </c>
      <c r="I36" s="16">
        <f t="shared" si="0"/>
        <v>3.69</v>
      </c>
    </row>
    <row r="37" ht="28" spans="1:9">
      <c r="A37" s="13">
        <v>45907</v>
      </c>
      <c r="B37" s="14" t="s">
        <v>10</v>
      </c>
      <c r="C37" s="14">
        <v>87601</v>
      </c>
      <c r="D37" s="15" t="s">
        <v>706</v>
      </c>
      <c r="E37" s="14" t="s">
        <v>707</v>
      </c>
      <c r="F37" s="16" t="s">
        <v>74</v>
      </c>
      <c r="G37" s="16">
        <f>150</f>
        <v>150</v>
      </c>
      <c r="H37" s="25">
        <v>0.007</v>
      </c>
      <c r="I37" s="16">
        <f t="shared" si="0"/>
        <v>1.05</v>
      </c>
    </row>
    <row r="38" ht="28" spans="1:9">
      <c r="A38" s="13">
        <v>45907</v>
      </c>
      <c r="B38" s="14" t="s">
        <v>10</v>
      </c>
      <c r="C38" s="14" t="s">
        <v>449</v>
      </c>
      <c r="D38" s="15" t="s">
        <v>708</v>
      </c>
      <c r="E38" s="23" t="s">
        <v>709</v>
      </c>
      <c r="F38" s="16" t="s">
        <v>74</v>
      </c>
      <c r="G38" s="25">
        <f>70</f>
        <v>70</v>
      </c>
      <c r="H38" s="25">
        <v>0.007</v>
      </c>
      <c r="I38" s="16">
        <f t="shared" si="0"/>
        <v>0.49</v>
      </c>
    </row>
    <row r="39" ht="28" spans="1:9">
      <c r="A39" s="13">
        <v>45909</v>
      </c>
      <c r="B39" s="14" t="s">
        <v>10</v>
      </c>
      <c r="C39" s="14">
        <v>84540</v>
      </c>
      <c r="D39" s="15" t="s">
        <v>710</v>
      </c>
      <c r="E39" s="14" t="s">
        <v>711</v>
      </c>
      <c r="F39" s="14" t="s">
        <v>259</v>
      </c>
      <c r="G39" s="16">
        <v>4000</v>
      </c>
      <c r="H39" s="25">
        <v>0.1</v>
      </c>
      <c r="I39" s="16">
        <f t="shared" si="0"/>
        <v>400</v>
      </c>
    </row>
    <row r="40" ht="28" spans="1:9">
      <c r="A40" s="13">
        <v>45913</v>
      </c>
      <c r="B40" s="14" t="s">
        <v>10</v>
      </c>
      <c r="C40" s="14">
        <v>89710</v>
      </c>
      <c r="D40" s="15" t="s">
        <v>712</v>
      </c>
      <c r="E40" s="14" t="s">
        <v>713</v>
      </c>
      <c r="F40" s="14" t="s">
        <v>14</v>
      </c>
      <c r="G40" s="16">
        <f>700+300+800</f>
        <v>1800</v>
      </c>
      <c r="H40" s="25">
        <v>0.036</v>
      </c>
      <c r="I40" s="16">
        <f t="shared" si="0"/>
        <v>64.8</v>
      </c>
    </row>
    <row r="41" spans="1:9">
      <c r="I41" s="31">
        <f>SUM(I3:I40)</f>
        <v>7864.885</v>
      </c>
    </row>
    <row r="42" spans="1:9">
      <c r="I42" s="32"/>
    </row>
  </sheetData>
  <autoFilter xmlns:etc="http://www.wps.cn/officeDocument/2017/etCustomData" ref="A1:I41" etc:filterBottomFollowUsedRange="0">
    <extLst/>
  </autoFilter>
  <mergeCells count="46">
    <mergeCell ref="A1:I1"/>
    <mergeCell ref="A4:A5"/>
    <mergeCell ref="A9:A10"/>
    <mergeCell ref="A13:A15"/>
    <mergeCell ref="A16:A18"/>
    <mergeCell ref="A19:A20"/>
    <mergeCell ref="A22:A25"/>
    <mergeCell ref="A26:A27"/>
    <mergeCell ref="A30:A31"/>
    <mergeCell ref="A32:A35"/>
    <mergeCell ref="B4:B5"/>
    <mergeCell ref="B9:B10"/>
    <mergeCell ref="B13:B15"/>
    <mergeCell ref="B16:B18"/>
    <mergeCell ref="B19:B20"/>
    <mergeCell ref="B22:B25"/>
    <mergeCell ref="B26:B27"/>
    <mergeCell ref="B30:B31"/>
    <mergeCell ref="B32:B35"/>
    <mergeCell ref="C4:C5"/>
    <mergeCell ref="C9:C10"/>
    <mergeCell ref="C13:C15"/>
    <mergeCell ref="C16:C18"/>
    <mergeCell ref="C19:C20"/>
    <mergeCell ref="C22:C25"/>
    <mergeCell ref="C26:C27"/>
    <mergeCell ref="C30:C31"/>
    <mergeCell ref="C32:C35"/>
    <mergeCell ref="D4:D5"/>
    <mergeCell ref="D9:D10"/>
    <mergeCell ref="D13:D15"/>
    <mergeCell ref="D16:D18"/>
    <mergeCell ref="D19:D20"/>
    <mergeCell ref="D22:D25"/>
    <mergeCell ref="D26:D27"/>
    <mergeCell ref="D30:D31"/>
    <mergeCell ref="D32:D35"/>
    <mergeCell ref="E4:E5"/>
    <mergeCell ref="E9:E10"/>
    <mergeCell ref="E13:E15"/>
    <mergeCell ref="E16:E18"/>
    <mergeCell ref="E19:E20"/>
    <mergeCell ref="E22:E25"/>
    <mergeCell ref="E26:E27"/>
    <mergeCell ref="E30:E31"/>
    <mergeCell ref="E32:E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opLeftCell="A24" workbookViewId="0">
      <selection activeCell="F46" sqref="F4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9">
      <c r="A1" s="3" t="s">
        <v>0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45586</v>
      </c>
      <c r="B3" s="17" t="s">
        <v>10</v>
      </c>
      <c r="C3" s="20"/>
      <c r="D3" s="47" t="s">
        <v>70</v>
      </c>
      <c r="E3" s="14" t="s">
        <v>71</v>
      </c>
      <c r="F3" s="14" t="s">
        <v>14</v>
      </c>
      <c r="G3" s="16">
        <v>201480</v>
      </c>
      <c r="H3" s="16">
        <v>0.23</v>
      </c>
      <c r="I3" s="169">
        <f t="shared" ref="I3:I59" si="0">G3*H3</f>
        <v>46340.4</v>
      </c>
    </row>
    <row r="4" customHeight="1" spans="1:9">
      <c r="A4" s="19"/>
      <c r="B4" s="17"/>
      <c r="C4" s="17"/>
      <c r="D4" s="47"/>
      <c r="E4" s="14"/>
      <c r="F4" s="16" t="s">
        <v>15</v>
      </c>
      <c r="G4" s="16">
        <v>201480</v>
      </c>
      <c r="H4" s="16">
        <v>0.08</v>
      </c>
      <c r="I4" s="169">
        <f t="shared" si="0"/>
        <v>16118.4</v>
      </c>
    </row>
    <row r="5" customHeight="1" spans="1:9">
      <c r="A5" s="19"/>
      <c r="B5" s="17"/>
      <c r="C5" s="17"/>
      <c r="D5" s="47"/>
      <c r="E5" s="14"/>
      <c r="F5" s="16" t="s">
        <v>63</v>
      </c>
      <c r="G5" s="16">
        <f>201480*5</f>
        <v>1007400</v>
      </c>
      <c r="H5" s="16">
        <v>0.04</v>
      </c>
      <c r="I5" s="169">
        <f t="shared" si="0"/>
        <v>40296</v>
      </c>
    </row>
    <row r="6" customHeight="1" spans="1:9">
      <c r="A6" s="19"/>
      <c r="B6" s="17"/>
      <c r="C6" s="17"/>
      <c r="D6" s="47"/>
      <c r="E6" s="14"/>
      <c r="F6" s="14" t="s">
        <v>57</v>
      </c>
      <c r="G6" s="16">
        <v>201480</v>
      </c>
      <c r="H6" s="51">
        <v>0.294</v>
      </c>
      <c r="I6" s="169">
        <f t="shared" si="0"/>
        <v>59235.12</v>
      </c>
    </row>
    <row r="7" customHeight="1" spans="1:9">
      <c r="A7" s="174">
        <v>45604</v>
      </c>
      <c r="B7" s="175" t="s">
        <v>10</v>
      </c>
      <c r="C7" s="20">
        <v>65335</v>
      </c>
      <c r="D7" s="47" t="s">
        <v>72</v>
      </c>
      <c r="E7" s="14" t="s">
        <v>73</v>
      </c>
      <c r="F7" s="14" t="s">
        <v>14</v>
      </c>
      <c r="G7" s="16">
        <v>21000</v>
      </c>
      <c r="H7" s="37">
        <v>0.23</v>
      </c>
      <c r="I7" s="169">
        <f t="shared" si="0"/>
        <v>4830</v>
      </c>
    </row>
    <row r="8" customHeight="1" spans="1:9">
      <c r="A8" s="174"/>
      <c r="B8" s="175"/>
      <c r="C8" s="17"/>
      <c r="D8" s="47"/>
      <c r="E8" s="14"/>
      <c r="F8" s="16" t="s">
        <v>15</v>
      </c>
      <c r="G8" s="16">
        <v>21000</v>
      </c>
      <c r="H8" s="16">
        <v>0.08</v>
      </c>
      <c r="I8" s="169">
        <f t="shared" si="0"/>
        <v>1680</v>
      </c>
    </row>
    <row r="9" customHeight="1" spans="1:9">
      <c r="A9" s="19"/>
      <c r="B9" s="17"/>
      <c r="C9" s="17"/>
      <c r="D9" s="47"/>
      <c r="E9" s="14"/>
      <c r="F9" s="16" t="s">
        <v>16</v>
      </c>
      <c r="G9" s="16">
        <f>21000*4</f>
        <v>84000</v>
      </c>
      <c r="H9" s="16">
        <v>0.04</v>
      </c>
      <c r="I9" s="169">
        <f t="shared" si="0"/>
        <v>3360</v>
      </c>
    </row>
    <row r="10" customHeight="1" spans="1:9">
      <c r="A10" s="19"/>
      <c r="B10" s="17"/>
      <c r="C10" s="17"/>
      <c r="D10" s="47"/>
      <c r="E10" s="14"/>
      <c r="F10" s="14" t="s">
        <v>17</v>
      </c>
      <c r="G10" s="16">
        <v>21000</v>
      </c>
      <c r="H10" s="16">
        <v>0.12</v>
      </c>
      <c r="I10" s="169">
        <f t="shared" si="0"/>
        <v>2520</v>
      </c>
    </row>
    <row r="11" customHeight="1" spans="1:9">
      <c r="A11" s="19"/>
      <c r="B11" s="17"/>
      <c r="C11" s="17"/>
      <c r="D11" s="47"/>
      <c r="E11" s="14"/>
      <c r="F11" s="14" t="s">
        <v>14</v>
      </c>
      <c r="G11" s="16">
        <v>4726</v>
      </c>
      <c r="H11" s="37">
        <v>0.23</v>
      </c>
      <c r="I11" s="169">
        <f t="shared" si="0"/>
        <v>1086.98</v>
      </c>
    </row>
    <row r="12" customHeight="1" spans="1:9">
      <c r="A12" s="19"/>
      <c r="B12" s="17"/>
      <c r="C12" s="17"/>
      <c r="D12" s="47"/>
      <c r="E12" s="14"/>
      <c r="F12" s="16" t="s">
        <v>74</v>
      </c>
      <c r="G12" s="16">
        <v>4726</v>
      </c>
      <c r="H12" s="16">
        <v>0.04</v>
      </c>
      <c r="I12" s="169">
        <f t="shared" si="0"/>
        <v>189.04</v>
      </c>
    </row>
    <row r="13" customHeight="1" spans="1:9">
      <c r="A13" s="19"/>
      <c r="B13" s="17"/>
      <c r="C13" s="17"/>
      <c r="D13" s="47"/>
      <c r="E13" s="14"/>
      <c r="F13" s="14" t="s">
        <v>17</v>
      </c>
      <c r="G13" s="16">
        <v>4726</v>
      </c>
      <c r="H13" s="16">
        <v>0.12</v>
      </c>
      <c r="I13" s="169">
        <f t="shared" si="0"/>
        <v>567.12</v>
      </c>
    </row>
    <row r="14" customHeight="1" spans="1:9">
      <c r="A14" s="19">
        <v>45605</v>
      </c>
      <c r="B14" s="17" t="s">
        <v>10</v>
      </c>
      <c r="C14" s="20"/>
      <c r="D14" s="47" t="s">
        <v>75</v>
      </c>
      <c r="E14" s="14" t="s">
        <v>76</v>
      </c>
      <c r="F14" s="14" t="s">
        <v>14</v>
      </c>
      <c r="G14" s="16">
        <v>14698</v>
      </c>
      <c r="H14" s="16">
        <v>0.23</v>
      </c>
      <c r="I14" s="169">
        <f t="shared" si="0"/>
        <v>3380.54</v>
      </c>
    </row>
    <row r="15" customHeight="1" spans="1:9">
      <c r="A15" s="19"/>
      <c r="B15" s="17"/>
      <c r="C15" s="17"/>
      <c r="D15" s="47"/>
      <c r="E15" s="14"/>
      <c r="F15" s="16" t="s">
        <v>15</v>
      </c>
      <c r="G15" s="16">
        <v>14698</v>
      </c>
      <c r="H15" s="16">
        <v>0.08</v>
      </c>
      <c r="I15" s="169">
        <f t="shared" si="0"/>
        <v>1175.84</v>
      </c>
    </row>
    <row r="16" customHeight="1" spans="1:9">
      <c r="A16" s="19"/>
      <c r="B16" s="17"/>
      <c r="C16" s="17"/>
      <c r="D16" s="47"/>
      <c r="E16" s="14"/>
      <c r="F16" s="16" t="s">
        <v>16</v>
      </c>
      <c r="G16" s="16">
        <f>14698*4</f>
        <v>58792</v>
      </c>
      <c r="H16" s="16">
        <v>0.04</v>
      </c>
      <c r="I16" s="169">
        <f t="shared" si="0"/>
        <v>2351.68</v>
      </c>
    </row>
    <row r="17" customHeight="1" spans="1:9">
      <c r="A17" s="19"/>
      <c r="B17" s="17"/>
      <c r="C17" s="17"/>
      <c r="D17" s="47"/>
      <c r="E17" s="14"/>
      <c r="F17" s="14" t="s">
        <v>77</v>
      </c>
      <c r="G17" s="16">
        <v>14698</v>
      </c>
      <c r="H17" s="18">
        <v>0.19</v>
      </c>
      <c r="I17" s="169">
        <f t="shared" si="0"/>
        <v>2792.62</v>
      </c>
    </row>
    <row r="18" customHeight="1" spans="1:9">
      <c r="A18" s="19">
        <v>45606</v>
      </c>
      <c r="B18" s="17" t="s">
        <v>10</v>
      </c>
      <c r="C18" s="20" t="s">
        <v>78</v>
      </c>
      <c r="D18" s="49" t="s">
        <v>79</v>
      </c>
      <c r="E18" s="14" t="s">
        <v>80</v>
      </c>
      <c r="F18" s="14" t="s">
        <v>14</v>
      </c>
      <c r="G18" s="16">
        <v>15750</v>
      </c>
      <c r="H18" s="37">
        <v>0.23</v>
      </c>
      <c r="I18" s="169">
        <f t="shared" si="0"/>
        <v>3622.5</v>
      </c>
    </row>
    <row r="19" customHeight="1" spans="1:9">
      <c r="A19" s="19"/>
      <c r="B19" s="17"/>
      <c r="C19" s="17"/>
      <c r="D19" s="49"/>
      <c r="E19" s="14"/>
      <c r="F19" s="16" t="s">
        <v>15</v>
      </c>
      <c r="G19" s="16">
        <v>15750</v>
      </c>
      <c r="H19" s="16">
        <v>0.08</v>
      </c>
      <c r="I19" s="169">
        <f t="shared" si="0"/>
        <v>1260</v>
      </c>
    </row>
    <row r="20" customHeight="1" spans="1:9">
      <c r="A20" s="19"/>
      <c r="B20" s="17"/>
      <c r="C20" s="17"/>
      <c r="D20" s="49"/>
      <c r="E20" s="14"/>
      <c r="F20" s="50" t="s">
        <v>28</v>
      </c>
      <c r="G20" s="16">
        <f>15750*4</f>
        <v>63000</v>
      </c>
      <c r="H20" s="50">
        <v>0.04</v>
      </c>
      <c r="I20" s="169">
        <f t="shared" si="0"/>
        <v>2520</v>
      </c>
    </row>
    <row r="21" customHeight="1" spans="1:9">
      <c r="A21" s="19"/>
      <c r="B21" s="17"/>
      <c r="C21" s="17"/>
      <c r="D21" s="49"/>
      <c r="E21" s="14"/>
      <c r="F21" s="14" t="s">
        <v>17</v>
      </c>
      <c r="G21" s="16">
        <v>15750</v>
      </c>
      <c r="H21" s="16">
        <v>0.12</v>
      </c>
      <c r="I21" s="169">
        <f t="shared" si="0"/>
        <v>1890</v>
      </c>
    </row>
    <row r="22" customHeight="1" spans="1:9">
      <c r="A22" s="19">
        <v>45608</v>
      </c>
      <c r="B22" s="17" t="s">
        <v>10</v>
      </c>
      <c r="C22" s="20" t="s">
        <v>81</v>
      </c>
      <c r="D22" s="49" t="s">
        <v>82</v>
      </c>
      <c r="E22" s="14" t="s">
        <v>83</v>
      </c>
      <c r="F22" s="14" t="s">
        <v>14</v>
      </c>
      <c r="G22" s="16">
        <v>10500</v>
      </c>
      <c r="H22" s="37">
        <v>0.23</v>
      </c>
      <c r="I22" s="169">
        <f t="shared" si="0"/>
        <v>2415</v>
      </c>
    </row>
    <row r="23" customHeight="1" spans="1:9">
      <c r="A23" s="19"/>
      <c r="B23" s="17"/>
      <c r="C23" s="17"/>
      <c r="D23" s="49"/>
      <c r="E23" s="14"/>
      <c r="F23" s="16" t="s">
        <v>15</v>
      </c>
      <c r="G23" s="16">
        <v>10500</v>
      </c>
      <c r="H23" s="16">
        <v>0.08</v>
      </c>
      <c r="I23" s="169">
        <f t="shared" si="0"/>
        <v>840</v>
      </c>
    </row>
    <row r="24" customHeight="1" spans="1:9">
      <c r="A24" s="19"/>
      <c r="B24" s="17"/>
      <c r="C24" s="17"/>
      <c r="D24" s="49"/>
      <c r="E24" s="14"/>
      <c r="F24" s="16" t="s">
        <v>25</v>
      </c>
      <c r="G24" s="16">
        <f>10500*5</f>
        <v>52500</v>
      </c>
      <c r="H24" s="50">
        <v>0.04</v>
      </c>
      <c r="I24" s="169">
        <f t="shared" si="0"/>
        <v>2100</v>
      </c>
    </row>
    <row r="25" customHeight="1" spans="1:9">
      <c r="A25" s="19"/>
      <c r="B25" s="17"/>
      <c r="C25" s="17"/>
      <c r="D25" s="49"/>
      <c r="E25" s="14"/>
      <c r="F25" s="14" t="s">
        <v>17</v>
      </c>
      <c r="G25" s="16">
        <v>10500</v>
      </c>
      <c r="H25" s="16">
        <v>0.12</v>
      </c>
      <c r="I25" s="169">
        <f t="shared" si="0"/>
        <v>1260</v>
      </c>
    </row>
    <row r="26" customHeight="1" spans="1:9">
      <c r="A26" s="19">
        <v>45609</v>
      </c>
      <c r="B26" s="17" t="s">
        <v>10</v>
      </c>
      <c r="C26" s="20">
        <v>65415</v>
      </c>
      <c r="D26" s="47" t="s">
        <v>84</v>
      </c>
      <c r="E26" s="14" t="s">
        <v>85</v>
      </c>
      <c r="F26" s="14" t="s">
        <v>14</v>
      </c>
      <c r="G26" s="16">
        <v>22750</v>
      </c>
      <c r="H26" s="37">
        <v>0.23</v>
      </c>
      <c r="I26" s="169">
        <f t="shared" si="0"/>
        <v>5232.5</v>
      </c>
    </row>
    <row r="27" customHeight="1" spans="1:9">
      <c r="A27" s="19"/>
      <c r="B27" s="17"/>
      <c r="C27" s="17"/>
      <c r="D27" s="47"/>
      <c r="E27" s="14"/>
      <c r="F27" s="16" t="s">
        <v>15</v>
      </c>
      <c r="G27" s="16">
        <v>22750</v>
      </c>
      <c r="H27" s="16">
        <v>0.08</v>
      </c>
      <c r="I27" s="169">
        <f t="shared" si="0"/>
        <v>1820</v>
      </c>
    </row>
    <row r="28" customHeight="1" spans="1:9">
      <c r="A28" s="19"/>
      <c r="B28" s="17"/>
      <c r="C28" s="17"/>
      <c r="D28" s="47"/>
      <c r="E28" s="14"/>
      <c r="F28" s="16" t="s">
        <v>16</v>
      </c>
      <c r="G28" s="16">
        <f>22750*4</f>
        <v>91000</v>
      </c>
      <c r="H28" s="16">
        <v>0.04</v>
      </c>
      <c r="I28" s="169">
        <f t="shared" si="0"/>
        <v>3640</v>
      </c>
    </row>
    <row r="29" customHeight="1" spans="1:9">
      <c r="A29" s="19"/>
      <c r="B29" s="17"/>
      <c r="C29" s="17"/>
      <c r="D29" s="47"/>
      <c r="E29" s="14"/>
      <c r="F29" s="14" t="s">
        <v>17</v>
      </c>
      <c r="G29" s="16">
        <v>22750</v>
      </c>
      <c r="H29" s="16">
        <v>0.12</v>
      </c>
      <c r="I29" s="169">
        <f t="shared" si="0"/>
        <v>2730</v>
      </c>
    </row>
    <row r="30" customHeight="1" spans="1:9">
      <c r="A30" s="19">
        <v>45609</v>
      </c>
      <c r="B30" s="17" t="s">
        <v>10</v>
      </c>
      <c r="C30" s="20" t="s">
        <v>86</v>
      </c>
      <c r="D30" s="49" t="s">
        <v>87</v>
      </c>
      <c r="E30" s="14" t="s">
        <v>88</v>
      </c>
      <c r="F30" s="14" t="s">
        <v>14</v>
      </c>
      <c r="G30" s="52">
        <v>16799</v>
      </c>
      <c r="H30" s="16">
        <v>0.23</v>
      </c>
      <c r="I30" s="169">
        <f t="shared" si="0"/>
        <v>3863.77</v>
      </c>
    </row>
    <row r="31" customHeight="1" spans="1:9">
      <c r="A31" s="19"/>
      <c r="B31" s="17"/>
      <c r="C31" s="17"/>
      <c r="D31" s="16"/>
      <c r="E31" s="14"/>
      <c r="F31" s="16" t="s">
        <v>15</v>
      </c>
      <c r="G31" s="52">
        <v>16799</v>
      </c>
      <c r="H31" s="16">
        <v>0.08</v>
      </c>
      <c r="I31" s="169">
        <f t="shared" si="0"/>
        <v>1343.92</v>
      </c>
    </row>
    <row r="32" customHeight="1" spans="1:9">
      <c r="A32" s="19"/>
      <c r="B32" s="17"/>
      <c r="C32" s="17"/>
      <c r="D32" s="16"/>
      <c r="E32" s="14"/>
      <c r="F32" s="16" t="s">
        <v>16</v>
      </c>
      <c r="G32" s="52">
        <f>16799*4</f>
        <v>67196</v>
      </c>
      <c r="H32" s="16">
        <v>0.04</v>
      </c>
      <c r="I32" s="169">
        <f t="shared" si="0"/>
        <v>2687.84</v>
      </c>
    </row>
    <row r="33" customHeight="1" spans="1:9">
      <c r="A33" s="19"/>
      <c r="B33" s="17"/>
      <c r="C33" s="17"/>
      <c r="D33" s="16"/>
      <c r="E33" s="14"/>
      <c r="F33" s="14" t="s">
        <v>22</v>
      </c>
      <c r="G33" s="52">
        <v>16799</v>
      </c>
      <c r="H33" s="16">
        <v>0.095</v>
      </c>
      <c r="I33" s="169">
        <f t="shared" si="0"/>
        <v>1595.905</v>
      </c>
    </row>
    <row r="34" customHeight="1" spans="1:9">
      <c r="A34" s="19">
        <v>45612</v>
      </c>
      <c r="B34" s="17" t="s">
        <v>10</v>
      </c>
      <c r="C34" s="20" t="s">
        <v>89</v>
      </c>
      <c r="D34" s="49" t="s">
        <v>90</v>
      </c>
      <c r="E34" s="14" t="s">
        <v>91</v>
      </c>
      <c r="F34" s="14" t="s">
        <v>14</v>
      </c>
      <c r="G34" s="16">
        <v>9450</v>
      </c>
      <c r="H34" s="37">
        <v>0.23</v>
      </c>
      <c r="I34" s="169">
        <f t="shared" si="0"/>
        <v>2173.5</v>
      </c>
    </row>
    <row r="35" customHeight="1" spans="1:9">
      <c r="A35" s="19"/>
      <c r="B35" s="17"/>
      <c r="C35" s="17"/>
      <c r="D35" s="49"/>
      <c r="E35" s="14"/>
      <c r="F35" s="16" t="s">
        <v>15</v>
      </c>
      <c r="G35" s="16">
        <v>9450</v>
      </c>
      <c r="H35" s="16">
        <v>0.08</v>
      </c>
      <c r="I35" s="169">
        <f t="shared" si="0"/>
        <v>756</v>
      </c>
    </row>
    <row r="36" customHeight="1" spans="1:9">
      <c r="A36" s="19"/>
      <c r="B36" s="17"/>
      <c r="C36" s="17"/>
      <c r="D36" s="49"/>
      <c r="E36" s="14"/>
      <c r="F36" s="16" t="s">
        <v>25</v>
      </c>
      <c r="G36" s="16">
        <f>9450*5</f>
        <v>47250</v>
      </c>
      <c r="H36" s="50">
        <v>0.04</v>
      </c>
      <c r="I36" s="169">
        <f t="shared" si="0"/>
        <v>1890</v>
      </c>
    </row>
    <row r="37" customHeight="1" spans="1:9">
      <c r="A37" s="19"/>
      <c r="B37" s="17"/>
      <c r="C37" s="17"/>
      <c r="D37" s="49"/>
      <c r="E37" s="14"/>
      <c r="F37" s="14" t="s">
        <v>17</v>
      </c>
      <c r="G37" s="16">
        <v>9450</v>
      </c>
      <c r="H37" s="16">
        <v>0.12</v>
      </c>
      <c r="I37" s="169">
        <f t="shared" si="0"/>
        <v>1134</v>
      </c>
    </row>
    <row r="38" customHeight="1" spans="1:9">
      <c r="A38" s="19">
        <v>45612</v>
      </c>
      <c r="B38" s="17" t="s">
        <v>10</v>
      </c>
      <c r="C38" s="20">
        <v>64721</v>
      </c>
      <c r="D38" s="49" t="s">
        <v>92</v>
      </c>
      <c r="E38" s="14" t="s">
        <v>93</v>
      </c>
      <c r="F38" s="14" t="s">
        <v>14</v>
      </c>
      <c r="G38" s="16">
        <v>1890</v>
      </c>
      <c r="H38" s="37">
        <v>0.23</v>
      </c>
      <c r="I38" s="169">
        <f t="shared" si="0"/>
        <v>434.7</v>
      </c>
    </row>
    <row r="39" customHeight="1" spans="1:9">
      <c r="A39" s="19"/>
      <c r="B39" s="17"/>
      <c r="C39" s="17"/>
      <c r="D39" s="49"/>
      <c r="E39" s="14"/>
      <c r="F39" s="16" t="s">
        <v>15</v>
      </c>
      <c r="G39" s="16">
        <v>1890</v>
      </c>
      <c r="H39" s="16">
        <v>0.08</v>
      </c>
      <c r="I39" s="169">
        <f t="shared" si="0"/>
        <v>151.2</v>
      </c>
    </row>
    <row r="40" customHeight="1" spans="1:9">
      <c r="A40" s="19"/>
      <c r="B40" s="17"/>
      <c r="C40" s="17"/>
      <c r="D40" s="49"/>
      <c r="E40" s="14"/>
      <c r="F40" s="50" t="s">
        <v>28</v>
      </c>
      <c r="G40" s="16">
        <f>1890*4</f>
        <v>7560</v>
      </c>
      <c r="H40" s="50">
        <v>0.04</v>
      </c>
      <c r="I40" s="169">
        <f t="shared" si="0"/>
        <v>302.4</v>
      </c>
    </row>
    <row r="41" customHeight="1" spans="1:9">
      <c r="A41" s="19"/>
      <c r="B41" s="17"/>
      <c r="C41" s="17"/>
      <c r="D41" s="49"/>
      <c r="E41" s="14"/>
      <c r="F41" s="14" t="s">
        <v>17</v>
      </c>
      <c r="G41" s="16">
        <v>1890</v>
      </c>
      <c r="H41" s="16">
        <v>0.12</v>
      </c>
      <c r="I41" s="169">
        <f t="shared" si="0"/>
        <v>226.8</v>
      </c>
    </row>
    <row r="42" customHeight="1" spans="1:9">
      <c r="A42" s="19">
        <v>45613</v>
      </c>
      <c r="B42" s="17" t="s">
        <v>10</v>
      </c>
      <c r="C42" s="14">
        <v>65205</v>
      </c>
      <c r="D42" s="49" t="s">
        <v>94</v>
      </c>
      <c r="E42" s="14" t="s">
        <v>95</v>
      </c>
      <c r="F42" s="14" t="s">
        <v>96</v>
      </c>
      <c r="G42" s="16">
        <v>31500</v>
      </c>
      <c r="H42" s="37">
        <v>0.23</v>
      </c>
      <c r="I42" s="169">
        <f t="shared" si="0"/>
        <v>7245</v>
      </c>
    </row>
    <row r="43" customHeight="1" spans="1:9">
      <c r="A43" s="19"/>
      <c r="B43" s="17"/>
      <c r="C43" s="16"/>
      <c r="D43" s="49"/>
      <c r="E43" s="14"/>
      <c r="F43" s="50" t="s">
        <v>74</v>
      </c>
      <c r="G43" s="16">
        <v>2667</v>
      </c>
      <c r="H43" s="50">
        <v>0.04</v>
      </c>
      <c r="I43" s="169">
        <f t="shared" si="0"/>
        <v>106.68</v>
      </c>
    </row>
    <row r="44" customHeight="1" spans="1:9">
      <c r="A44" s="19"/>
      <c r="B44" s="17"/>
      <c r="C44" s="16"/>
      <c r="D44" s="49"/>
      <c r="E44" s="14"/>
      <c r="F44" s="14" t="s">
        <v>17</v>
      </c>
      <c r="G44" s="16">
        <v>2667</v>
      </c>
      <c r="H44" s="16">
        <v>0.12</v>
      </c>
      <c r="I44" s="169">
        <f t="shared" si="0"/>
        <v>320.04</v>
      </c>
    </row>
    <row r="45" customHeight="1" spans="1:9">
      <c r="A45" s="19">
        <v>45613</v>
      </c>
      <c r="B45" s="17" t="s">
        <v>10</v>
      </c>
      <c r="C45" s="14">
        <v>65334</v>
      </c>
      <c r="D45" s="49" t="s">
        <v>97</v>
      </c>
      <c r="E45" s="14" t="s">
        <v>98</v>
      </c>
      <c r="F45" s="14" t="s">
        <v>96</v>
      </c>
      <c r="G45" s="16">
        <v>21000</v>
      </c>
      <c r="H45" s="37">
        <v>0.23</v>
      </c>
      <c r="I45" s="169">
        <f t="shared" si="0"/>
        <v>4830</v>
      </c>
    </row>
    <row r="46" customHeight="1" spans="1:9">
      <c r="A46" s="19"/>
      <c r="B46" s="17"/>
      <c r="C46" s="16"/>
      <c r="D46" s="49"/>
      <c r="E46" s="14"/>
      <c r="F46" s="50" t="s">
        <v>74</v>
      </c>
      <c r="G46" s="16">
        <v>1774</v>
      </c>
      <c r="H46" s="50">
        <v>0.04</v>
      </c>
      <c r="I46" s="169">
        <f t="shared" si="0"/>
        <v>70.96</v>
      </c>
    </row>
    <row r="47" customHeight="1" spans="1:9">
      <c r="A47" s="19"/>
      <c r="B47" s="17"/>
      <c r="C47" s="16"/>
      <c r="D47" s="49"/>
      <c r="E47" s="14"/>
      <c r="F47" s="14" t="s">
        <v>17</v>
      </c>
      <c r="G47" s="16">
        <v>1774</v>
      </c>
      <c r="H47" s="16">
        <v>0.12</v>
      </c>
      <c r="I47" s="169">
        <f t="shared" si="0"/>
        <v>212.88</v>
      </c>
    </row>
    <row r="48" customHeight="1" spans="1:9">
      <c r="A48" s="19">
        <v>45624</v>
      </c>
      <c r="B48" s="17" t="s">
        <v>10</v>
      </c>
      <c r="C48" s="14">
        <v>65659</v>
      </c>
      <c r="D48" s="49" t="s">
        <v>99</v>
      </c>
      <c r="E48" s="14" t="s">
        <v>100</v>
      </c>
      <c r="F48" s="14" t="s">
        <v>14</v>
      </c>
      <c r="G48" s="16">
        <v>15750</v>
      </c>
      <c r="H48" s="37">
        <v>0.23</v>
      </c>
      <c r="I48" s="169">
        <f t="shared" si="0"/>
        <v>3622.5</v>
      </c>
    </row>
    <row r="49" customHeight="1" spans="1:10">
      <c r="A49" s="19"/>
      <c r="B49" s="17"/>
      <c r="C49" s="16"/>
      <c r="D49" s="49"/>
      <c r="E49" s="14"/>
      <c r="F49" s="16" t="s">
        <v>15</v>
      </c>
      <c r="G49" s="16">
        <v>15750</v>
      </c>
      <c r="H49" s="16">
        <v>0.08</v>
      </c>
      <c r="I49" s="169">
        <f t="shared" si="0"/>
        <v>1260</v>
      </c>
    </row>
    <row r="50" customHeight="1" spans="1:10">
      <c r="A50" s="19"/>
      <c r="B50" s="17"/>
      <c r="C50" s="16"/>
      <c r="D50" s="49"/>
      <c r="E50" s="14"/>
      <c r="F50" s="50" t="s">
        <v>25</v>
      </c>
      <c r="G50" s="16">
        <f>15750*5</f>
        <v>78750</v>
      </c>
      <c r="H50" s="50">
        <v>0.04</v>
      </c>
      <c r="I50" s="169">
        <f t="shared" si="0"/>
        <v>3150</v>
      </c>
    </row>
    <row r="51" customHeight="1" spans="1:10">
      <c r="A51" s="19"/>
      <c r="B51" s="17"/>
      <c r="C51" s="16"/>
      <c r="D51" s="49"/>
      <c r="E51" s="14"/>
      <c r="F51" s="14" t="s">
        <v>17</v>
      </c>
      <c r="G51" s="16">
        <v>15750</v>
      </c>
      <c r="H51" s="16">
        <v>0.12</v>
      </c>
      <c r="I51" s="169">
        <f t="shared" si="0"/>
        <v>1890</v>
      </c>
    </row>
    <row r="52" customHeight="1" spans="1:10">
      <c r="A52" s="19">
        <v>45624</v>
      </c>
      <c r="B52" s="17" t="s">
        <v>10</v>
      </c>
      <c r="C52" s="20">
        <v>65660</v>
      </c>
      <c r="D52" s="49" t="s">
        <v>101</v>
      </c>
      <c r="E52" s="14" t="s">
        <v>102</v>
      </c>
      <c r="F52" s="14" t="s">
        <v>14</v>
      </c>
      <c r="G52" s="16">
        <v>15750</v>
      </c>
      <c r="H52" s="37">
        <v>0.23</v>
      </c>
      <c r="I52" s="169">
        <f t="shared" si="0"/>
        <v>3622.5</v>
      </c>
    </row>
    <row r="53" customHeight="1" spans="1:10">
      <c r="A53" s="19"/>
      <c r="B53" s="17"/>
      <c r="C53" s="17"/>
      <c r="D53" s="49"/>
      <c r="E53" s="14"/>
      <c r="F53" s="16" t="s">
        <v>15</v>
      </c>
      <c r="G53" s="16">
        <v>15750</v>
      </c>
      <c r="H53" s="16">
        <v>0.08</v>
      </c>
      <c r="I53" s="169">
        <f t="shared" si="0"/>
        <v>1260</v>
      </c>
    </row>
    <row r="54" customHeight="1" spans="1:10">
      <c r="A54" s="19"/>
      <c r="B54" s="17"/>
      <c r="C54" s="17"/>
      <c r="D54" s="49"/>
      <c r="E54" s="14"/>
      <c r="F54" s="16" t="s">
        <v>25</v>
      </c>
      <c r="G54" s="16">
        <f>15750*5</f>
        <v>78750</v>
      </c>
      <c r="H54" s="50">
        <v>0.04</v>
      </c>
      <c r="I54" s="169">
        <f t="shared" si="0"/>
        <v>3150</v>
      </c>
    </row>
    <row r="55" customHeight="1" spans="1:10">
      <c r="A55" s="19"/>
      <c r="B55" s="17"/>
      <c r="C55" s="17"/>
      <c r="D55" s="49"/>
      <c r="E55" s="14"/>
      <c r="F55" s="14" t="s">
        <v>17</v>
      </c>
      <c r="G55" s="16">
        <v>15750</v>
      </c>
      <c r="H55" s="16">
        <v>0.12</v>
      </c>
      <c r="I55" s="169">
        <f t="shared" si="0"/>
        <v>1890</v>
      </c>
    </row>
    <row r="56" customHeight="1" spans="1:10">
      <c r="A56" s="19">
        <v>45625</v>
      </c>
      <c r="B56" s="17" t="s">
        <v>10</v>
      </c>
      <c r="C56" s="20">
        <v>65667</v>
      </c>
      <c r="D56" s="49" t="s">
        <v>103</v>
      </c>
      <c r="E56" s="14" t="s">
        <v>104</v>
      </c>
      <c r="F56" s="14" t="s">
        <v>14</v>
      </c>
      <c r="G56" s="16">
        <v>5776</v>
      </c>
      <c r="H56" s="37">
        <v>0.23</v>
      </c>
      <c r="I56" s="169">
        <f t="shared" si="0"/>
        <v>1328.48</v>
      </c>
    </row>
    <row r="57" customHeight="1" spans="1:10">
      <c r="A57" s="19"/>
      <c r="B57" s="17"/>
      <c r="C57" s="17"/>
      <c r="D57" s="49"/>
      <c r="E57" s="14"/>
      <c r="F57" s="16" t="s">
        <v>15</v>
      </c>
      <c r="G57" s="16">
        <v>5776</v>
      </c>
      <c r="H57" s="16">
        <v>0.08</v>
      </c>
      <c r="I57" s="169">
        <f t="shared" si="0"/>
        <v>462.08</v>
      </c>
    </row>
    <row r="58" customHeight="1" spans="1:10">
      <c r="A58" s="19"/>
      <c r="B58" s="17"/>
      <c r="C58" s="17"/>
      <c r="D58" s="49"/>
      <c r="E58" s="14"/>
      <c r="F58" s="16" t="s">
        <v>25</v>
      </c>
      <c r="G58" s="16">
        <f>5776*5</f>
        <v>28880</v>
      </c>
      <c r="H58" s="50">
        <v>0.04</v>
      </c>
      <c r="I58" s="169">
        <f t="shared" si="0"/>
        <v>1155.2</v>
      </c>
    </row>
    <row r="59" customHeight="1" spans="1:10">
      <c r="A59" s="19"/>
      <c r="B59" s="17"/>
      <c r="C59" s="17"/>
      <c r="D59" s="49"/>
      <c r="E59" s="14"/>
      <c r="F59" s="14" t="s">
        <v>17</v>
      </c>
      <c r="G59" s="16">
        <v>5776</v>
      </c>
      <c r="H59" s="16">
        <v>0.12</v>
      </c>
      <c r="I59" s="169">
        <f t="shared" si="0"/>
        <v>693.12</v>
      </c>
    </row>
    <row r="60" customHeight="1" spans="1:10">
      <c r="I60" s="176">
        <f>SUM(I3:I59)</f>
        <v>268083.215</v>
      </c>
      <c r="J60" s="171" t="s">
        <v>105</v>
      </c>
    </row>
  </sheetData>
  <autoFilter xmlns:etc="http://www.wps.cn/officeDocument/2017/etCustomData" ref="A1:I60" etc:filterBottomFollowUsedRange="0">
    <extLst/>
  </autoFilter>
  <mergeCells count="71">
    <mergeCell ref="A1:I1"/>
    <mergeCell ref="A3:A6"/>
    <mergeCell ref="A7:A13"/>
    <mergeCell ref="A14:A17"/>
    <mergeCell ref="A18:A21"/>
    <mergeCell ref="A22:A25"/>
    <mergeCell ref="A26:A29"/>
    <mergeCell ref="A30:A33"/>
    <mergeCell ref="A34:A37"/>
    <mergeCell ref="A38:A41"/>
    <mergeCell ref="A42:A44"/>
    <mergeCell ref="A45:A47"/>
    <mergeCell ref="A48:A51"/>
    <mergeCell ref="A52:A55"/>
    <mergeCell ref="A56:A59"/>
    <mergeCell ref="B3:B6"/>
    <mergeCell ref="B7:B13"/>
    <mergeCell ref="B14:B17"/>
    <mergeCell ref="B18:B21"/>
    <mergeCell ref="B22:B25"/>
    <mergeCell ref="B26:B29"/>
    <mergeCell ref="B30:B33"/>
    <mergeCell ref="B34:B37"/>
    <mergeCell ref="B38:B41"/>
    <mergeCell ref="B42:B44"/>
    <mergeCell ref="B45:B47"/>
    <mergeCell ref="B48:B51"/>
    <mergeCell ref="B52:B55"/>
    <mergeCell ref="B56:B59"/>
    <mergeCell ref="C3:C6"/>
    <mergeCell ref="C7:C13"/>
    <mergeCell ref="C14:C17"/>
    <mergeCell ref="C18:C21"/>
    <mergeCell ref="C22:C25"/>
    <mergeCell ref="C26:C29"/>
    <mergeCell ref="C30:C33"/>
    <mergeCell ref="C34:C37"/>
    <mergeCell ref="C38:C41"/>
    <mergeCell ref="C42:C44"/>
    <mergeCell ref="C45:C47"/>
    <mergeCell ref="C48:C51"/>
    <mergeCell ref="C52:C55"/>
    <mergeCell ref="C56:C59"/>
    <mergeCell ref="D3:D6"/>
    <mergeCell ref="D7:D13"/>
    <mergeCell ref="D14:D17"/>
    <mergeCell ref="D18:D21"/>
    <mergeCell ref="D22:D25"/>
    <mergeCell ref="D26:D29"/>
    <mergeCell ref="D30:D33"/>
    <mergeCell ref="D34:D37"/>
    <mergeCell ref="D38:D41"/>
    <mergeCell ref="D42:D44"/>
    <mergeCell ref="D45:D47"/>
    <mergeCell ref="D48:D51"/>
    <mergeCell ref="D52:D55"/>
    <mergeCell ref="D56:D59"/>
    <mergeCell ref="E3:E6"/>
    <mergeCell ref="E7:E13"/>
    <mergeCell ref="E14:E17"/>
    <mergeCell ref="E18:E21"/>
    <mergeCell ref="E22:E25"/>
    <mergeCell ref="E26:E29"/>
    <mergeCell ref="E30:E33"/>
    <mergeCell ref="E34:E37"/>
    <mergeCell ref="E38:E41"/>
    <mergeCell ref="E42:E44"/>
    <mergeCell ref="E45:E47"/>
    <mergeCell ref="E48:E51"/>
    <mergeCell ref="E52:E55"/>
    <mergeCell ref="E56:E5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opLeftCell="A31" workbookViewId="0">
      <selection activeCell="K26" sqref="K2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20.5454545454545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11.8181818181818" style="1"/>
    <col min="11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45628</v>
      </c>
      <c r="B3" s="17" t="s">
        <v>10</v>
      </c>
      <c r="C3" s="20"/>
      <c r="D3" s="49" t="s">
        <v>107</v>
      </c>
      <c r="E3" s="14" t="s">
        <v>108</v>
      </c>
      <c r="F3" s="14" t="s">
        <v>14</v>
      </c>
      <c r="G3" s="52">
        <v>29400</v>
      </c>
      <c r="H3" s="16">
        <v>0.23</v>
      </c>
      <c r="I3" s="169">
        <f t="shared" ref="I3:I39" si="0">G3*H3</f>
        <v>6762</v>
      </c>
    </row>
    <row r="4" customHeight="1" spans="1:9">
      <c r="A4" s="19"/>
      <c r="B4" s="17"/>
      <c r="C4" s="17"/>
      <c r="D4" s="49"/>
      <c r="E4" s="14"/>
      <c r="F4" s="16" t="s">
        <v>15</v>
      </c>
      <c r="G4" s="52">
        <v>29400</v>
      </c>
      <c r="H4" s="16">
        <v>0.08</v>
      </c>
      <c r="I4" s="169">
        <f t="shared" si="0"/>
        <v>2352</v>
      </c>
    </row>
    <row r="5" customHeight="1" spans="1:9">
      <c r="A5" s="19"/>
      <c r="B5" s="17"/>
      <c r="C5" s="17"/>
      <c r="D5" s="49"/>
      <c r="E5" s="14"/>
      <c r="F5" s="16" t="s">
        <v>63</v>
      </c>
      <c r="G5" s="52">
        <f>29400*5</f>
        <v>147000</v>
      </c>
      <c r="H5" s="16">
        <v>0.04</v>
      </c>
      <c r="I5" s="169">
        <f t="shared" si="0"/>
        <v>5880</v>
      </c>
    </row>
    <row r="6" customHeight="1" spans="1:9">
      <c r="A6" s="19"/>
      <c r="B6" s="17"/>
      <c r="C6" s="17"/>
      <c r="D6" s="49"/>
      <c r="E6" s="14"/>
      <c r="F6" s="14" t="s">
        <v>109</v>
      </c>
      <c r="G6" s="52">
        <v>29400</v>
      </c>
      <c r="H6" s="16">
        <v>0.095</v>
      </c>
      <c r="I6" s="169">
        <f t="shared" si="0"/>
        <v>2793</v>
      </c>
    </row>
    <row r="7" customHeight="1" spans="1:9">
      <c r="A7" s="19">
        <v>45629</v>
      </c>
      <c r="B7" s="17" t="s">
        <v>10</v>
      </c>
      <c r="C7" s="20"/>
      <c r="D7" s="49" t="s">
        <v>110</v>
      </c>
      <c r="E7" s="14" t="s">
        <v>111</v>
      </c>
      <c r="F7" s="14" t="s">
        <v>14</v>
      </c>
      <c r="G7" s="52">
        <v>106575</v>
      </c>
      <c r="H7" s="16">
        <v>0.23</v>
      </c>
      <c r="I7" s="169">
        <f t="shared" si="0"/>
        <v>24512.25</v>
      </c>
    </row>
    <row r="8" customHeight="1" spans="1:9">
      <c r="A8" s="19"/>
      <c r="B8" s="17"/>
      <c r="C8" s="17"/>
      <c r="D8" s="49"/>
      <c r="E8" s="14"/>
      <c r="F8" s="16" t="s">
        <v>15</v>
      </c>
      <c r="G8" s="52">
        <v>106575</v>
      </c>
      <c r="H8" s="16">
        <v>0.08</v>
      </c>
      <c r="I8" s="169">
        <f t="shared" si="0"/>
        <v>8526</v>
      </c>
    </row>
    <row r="9" customHeight="1" spans="1:9">
      <c r="A9" s="19"/>
      <c r="B9" s="17"/>
      <c r="C9" s="17"/>
      <c r="D9" s="49"/>
      <c r="E9" s="14"/>
      <c r="F9" s="16" t="s">
        <v>63</v>
      </c>
      <c r="G9" s="52">
        <f>106575*5</f>
        <v>532875</v>
      </c>
      <c r="H9" s="16">
        <v>0.04</v>
      </c>
      <c r="I9" s="169">
        <f t="shared" si="0"/>
        <v>21315</v>
      </c>
    </row>
    <row r="10" customHeight="1" spans="1:9">
      <c r="A10" s="19"/>
      <c r="B10" s="17"/>
      <c r="C10" s="17"/>
      <c r="D10" s="49"/>
      <c r="E10" s="14"/>
      <c r="F10" s="14" t="s">
        <v>109</v>
      </c>
      <c r="G10" s="52">
        <v>106575</v>
      </c>
      <c r="H10" s="16">
        <v>0.095</v>
      </c>
      <c r="I10" s="169">
        <f t="shared" si="0"/>
        <v>10124.625</v>
      </c>
    </row>
    <row r="11" customHeight="1" spans="1:9">
      <c r="A11" s="19">
        <v>45645</v>
      </c>
      <c r="B11" s="17" t="s">
        <v>10</v>
      </c>
      <c r="C11" s="20">
        <v>17696</v>
      </c>
      <c r="D11" s="49" t="s">
        <v>112</v>
      </c>
      <c r="E11" s="14" t="s">
        <v>113</v>
      </c>
      <c r="F11" s="14" t="s">
        <v>14</v>
      </c>
      <c r="G11" s="16">
        <v>11550</v>
      </c>
      <c r="H11" s="37">
        <v>0.23</v>
      </c>
      <c r="I11" s="169">
        <f t="shared" si="0"/>
        <v>2656.5</v>
      </c>
    </row>
    <row r="12" customHeight="1" spans="1:9">
      <c r="A12" s="19"/>
      <c r="B12" s="17"/>
      <c r="C12" s="17"/>
      <c r="D12" s="49"/>
      <c r="E12" s="14"/>
      <c r="F12" s="16" t="s">
        <v>15</v>
      </c>
      <c r="G12" s="16">
        <v>11550</v>
      </c>
      <c r="H12" s="16">
        <v>0.08</v>
      </c>
      <c r="I12" s="169">
        <f t="shared" si="0"/>
        <v>924</v>
      </c>
    </row>
    <row r="13" customHeight="1" spans="1:9">
      <c r="A13" s="19"/>
      <c r="B13" s="17"/>
      <c r="C13" s="17"/>
      <c r="D13" s="49"/>
      <c r="E13" s="14"/>
      <c r="F13" s="16" t="s">
        <v>25</v>
      </c>
      <c r="G13" s="16">
        <f>11550*5</f>
        <v>57750</v>
      </c>
      <c r="H13" s="50">
        <v>0.04</v>
      </c>
      <c r="I13" s="169">
        <f t="shared" si="0"/>
        <v>2310</v>
      </c>
    </row>
    <row r="14" customHeight="1" spans="1:9">
      <c r="A14" s="19"/>
      <c r="B14" s="17"/>
      <c r="C14" s="17"/>
      <c r="D14" s="49"/>
      <c r="E14" s="14"/>
      <c r="F14" s="14" t="s">
        <v>17</v>
      </c>
      <c r="G14" s="16">
        <v>11550</v>
      </c>
      <c r="H14" s="16">
        <v>0.12</v>
      </c>
      <c r="I14" s="169">
        <f t="shared" si="0"/>
        <v>1386</v>
      </c>
    </row>
    <row r="15" customHeight="1" spans="1:9">
      <c r="A15" s="19">
        <v>45645</v>
      </c>
      <c r="B15" s="17" t="s">
        <v>10</v>
      </c>
      <c r="C15" s="14">
        <v>17701</v>
      </c>
      <c r="D15" s="49" t="s">
        <v>114</v>
      </c>
      <c r="E15" s="14" t="s">
        <v>115</v>
      </c>
      <c r="F15" s="14" t="s">
        <v>14</v>
      </c>
      <c r="G15" s="16">
        <v>10500</v>
      </c>
      <c r="H15" s="37">
        <v>0.23</v>
      </c>
      <c r="I15" s="169">
        <f t="shared" si="0"/>
        <v>2415</v>
      </c>
    </row>
    <row r="16" customHeight="1" spans="1:9">
      <c r="A16" s="19"/>
      <c r="B16" s="17"/>
      <c r="C16" s="16"/>
      <c r="D16" s="49"/>
      <c r="E16" s="14"/>
      <c r="F16" s="16" t="s">
        <v>15</v>
      </c>
      <c r="G16" s="16">
        <v>10500</v>
      </c>
      <c r="H16" s="16">
        <v>0.08</v>
      </c>
      <c r="I16" s="169">
        <f t="shared" si="0"/>
        <v>840</v>
      </c>
    </row>
    <row r="17" customHeight="1" spans="1:9">
      <c r="A17" s="19"/>
      <c r="B17" s="17"/>
      <c r="C17" s="16"/>
      <c r="D17" s="49"/>
      <c r="E17" s="14"/>
      <c r="F17" s="50" t="s">
        <v>25</v>
      </c>
      <c r="G17" s="16">
        <f>10500*5</f>
        <v>52500</v>
      </c>
      <c r="H17" s="50">
        <v>0.04</v>
      </c>
      <c r="I17" s="169">
        <f t="shared" si="0"/>
        <v>2100</v>
      </c>
    </row>
    <row r="18" customHeight="1" spans="1:9">
      <c r="A18" s="19"/>
      <c r="B18" s="17"/>
      <c r="C18" s="16"/>
      <c r="D18" s="49"/>
      <c r="E18" s="14"/>
      <c r="F18" s="14" t="s">
        <v>17</v>
      </c>
      <c r="G18" s="16">
        <v>10500</v>
      </c>
      <c r="H18" s="16">
        <v>0.12</v>
      </c>
      <c r="I18" s="169">
        <f t="shared" si="0"/>
        <v>1260</v>
      </c>
    </row>
    <row r="19" customHeight="1" spans="1:9">
      <c r="A19" s="19">
        <v>45645</v>
      </c>
      <c r="B19" s="17" t="s">
        <v>10</v>
      </c>
      <c r="C19" s="20" t="s">
        <v>116</v>
      </c>
      <c r="D19" s="49" t="s">
        <v>117</v>
      </c>
      <c r="E19" s="14" t="s">
        <v>118</v>
      </c>
      <c r="F19" s="14" t="s">
        <v>14</v>
      </c>
      <c r="G19" s="16">
        <v>6300</v>
      </c>
      <c r="H19" s="37">
        <v>0.23</v>
      </c>
      <c r="I19" s="169">
        <f t="shared" si="0"/>
        <v>1449</v>
      </c>
    </row>
    <row r="20" customHeight="1" spans="1:9">
      <c r="A20" s="19"/>
      <c r="B20" s="17"/>
      <c r="C20" s="17"/>
      <c r="D20" s="49"/>
      <c r="E20" s="14"/>
      <c r="F20" s="16" t="s">
        <v>15</v>
      </c>
      <c r="G20" s="16">
        <v>6300</v>
      </c>
      <c r="H20" s="16">
        <v>0.08</v>
      </c>
      <c r="I20" s="169">
        <f t="shared" si="0"/>
        <v>504</v>
      </c>
    </row>
    <row r="21" customHeight="1" spans="1:9">
      <c r="A21" s="19"/>
      <c r="B21" s="17"/>
      <c r="C21" s="17"/>
      <c r="D21" s="49"/>
      <c r="E21" s="14"/>
      <c r="F21" s="50" t="s">
        <v>28</v>
      </c>
      <c r="G21" s="16">
        <f>6300*4</f>
        <v>25200</v>
      </c>
      <c r="H21" s="50">
        <v>0.04</v>
      </c>
      <c r="I21" s="169">
        <f t="shared" si="0"/>
        <v>1008</v>
      </c>
    </row>
    <row r="22" customHeight="1" spans="1:9">
      <c r="A22" s="19"/>
      <c r="B22" s="17"/>
      <c r="C22" s="17"/>
      <c r="D22" s="49"/>
      <c r="E22" s="14"/>
      <c r="F22" s="14" t="s">
        <v>17</v>
      </c>
      <c r="G22" s="16">
        <v>6300</v>
      </c>
      <c r="H22" s="16">
        <v>0.12</v>
      </c>
      <c r="I22" s="169">
        <f t="shared" si="0"/>
        <v>756</v>
      </c>
    </row>
    <row r="23" customHeight="1" spans="1:9">
      <c r="A23" s="19">
        <v>45661</v>
      </c>
      <c r="B23" s="17" t="s">
        <v>10</v>
      </c>
      <c r="C23" s="14" t="s">
        <v>119</v>
      </c>
      <c r="D23" s="49" t="s">
        <v>120</v>
      </c>
      <c r="E23" s="14" t="s">
        <v>121</v>
      </c>
      <c r="F23" s="14" t="s">
        <v>14</v>
      </c>
      <c r="G23" s="16">
        <v>15750</v>
      </c>
      <c r="H23" s="16">
        <v>0.23</v>
      </c>
      <c r="I23" s="169">
        <f t="shared" si="0"/>
        <v>3622.5</v>
      </c>
    </row>
    <row r="24" customHeight="1" spans="1:9">
      <c r="A24" s="19"/>
      <c r="B24" s="17"/>
      <c r="C24" s="16"/>
      <c r="D24" s="49"/>
      <c r="E24" s="14"/>
      <c r="F24" s="16" t="s">
        <v>15</v>
      </c>
      <c r="G24" s="16">
        <v>7350</v>
      </c>
      <c r="H24" s="16">
        <v>0.08</v>
      </c>
      <c r="I24" s="169">
        <f t="shared" si="0"/>
        <v>588</v>
      </c>
    </row>
    <row r="25" customHeight="1" spans="1:9">
      <c r="A25" s="19"/>
      <c r="B25" s="17"/>
      <c r="C25" s="16"/>
      <c r="D25" s="49"/>
      <c r="E25" s="14"/>
      <c r="F25" s="16" t="s">
        <v>25</v>
      </c>
      <c r="G25" s="16">
        <f>7350*5</f>
        <v>36750</v>
      </c>
      <c r="H25" s="16">
        <v>0.04</v>
      </c>
      <c r="I25" s="169">
        <f t="shared" si="0"/>
        <v>1470</v>
      </c>
    </row>
    <row r="26" customHeight="1" spans="1:9">
      <c r="A26" s="19"/>
      <c r="B26" s="17"/>
      <c r="C26" s="16"/>
      <c r="D26" s="49"/>
      <c r="E26" s="14"/>
      <c r="F26" s="14" t="s">
        <v>17</v>
      </c>
      <c r="G26" s="16">
        <v>7350</v>
      </c>
      <c r="H26" s="16">
        <v>0.12</v>
      </c>
      <c r="I26" s="169">
        <f t="shared" si="0"/>
        <v>882</v>
      </c>
    </row>
    <row r="27" ht="42" spans="1:9">
      <c r="A27" s="19">
        <v>45662</v>
      </c>
      <c r="B27" s="17" t="s">
        <v>10</v>
      </c>
      <c r="C27" s="20"/>
      <c r="D27" s="47" t="s">
        <v>122</v>
      </c>
      <c r="E27" s="14" t="s">
        <v>123</v>
      </c>
      <c r="F27" s="16" t="s">
        <v>74</v>
      </c>
      <c r="G27" s="16">
        <v>9278</v>
      </c>
      <c r="H27" s="16">
        <v>0.04</v>
      </c>
      <c r="I27" s="169">
        <f t="shared" si="0"/>
        <v>371.12</v>
      </c>
    </row>
    <row r="28" customHeight="1" spans="1:9">
      <c r="A28" s="19">
        <v>45665</v>
      </c>
      <c r="B28" s="17" t="s">
        <v>10</v>
      </c>
      <c r="C28" s="14">
        <v>18677</v>
      </c>
      <c r="D28" s="49" t="s">
        <v>124</v>
      </c>
      <c r="E28" s="14" t="s">
        <v>125</v>
      </c>
      <c r="F28" s="14" t="s">
        <v>14</v>
      </c>
      <c r="G28" s="16">
        <v>10500</v>
      </c>
      <c r="H28" s="37">
        <v>0.23</v>
      </c>
      <c r="I28" s="169">
        <f t="shared" si="0"/>
        <v>2415</v>
      </c>
    </row>
    <row r="29" customHeight="1" spans="1:9">
      <c r="A29" s="19"/>
      <c r="B29" s="17"/>
      <c r="C29" s="16"/>
      <c r="D29" s="49"/>
      <c r="E29" s="14"/>
      <c r="F29" s="16" t="s">
        <v>15</v>
      </c>
      <c r="G29" s="16">
        <v>10500</v>
      </c>
      <c r="H29" s="16">
        <v>0.08</v>
      </c>
      <c r="I29" s="169">
        <f t="shared" si="0"/>
        <v>840</v>
      </c>
    </row>
    <row r="30" customHeight="1" spans="1:9">
      <c r="A30" s="19"/>
      <c r="B30" s="17"/>
      <c r="C30" s="16"/>
      <c r="D30" s="49"/>
      <c r="E30" s="14"/>
      <c r="F30" s="50" t="s">
        <v>25</v>
      </c>
      <c r="G30" s="16">
        <f>10500*5</f>
        <v>52500</v>
      </c>
      <c r="H30" s="50">
        <v>0.04</v>
      </c>
      <c r="I30" s="169">
        <f t="shared" si="0"/>
        <v>2100</v>
      </c>
    </row>
    <row r="31" customHeight="1" spans="1:9">
      <c r="A31" s="19"/>
      <c r="B31" s="17"/>
      <c r="C31" s="16"/>
      <c r="D31" s="49"/>
      <c r="E31" s="14"/>
      <c r="F31" s="14" t="s">
        <v>17</v>
      </c>
      <c r="G31" s="16">
        <v>10500</v>
      </c>
      <c r="H31" s="16">
        <v>0.12</v>
      </c>
      <c r="I31" s="169">
        <f t="shared" si="0"/>
        <v>1260</v>
      </c>
    </row>
    <row r="32" customHeight="1" spans="1:9">
      <c r="A32" s="19">
        <v>45665</v>
      </c>
      <c r="B32" s="17" t="s">
        <v>10</v>
      </c>
      <c r="C32" s="20">
        <v>18678</v>
      </c>
      <c r="D32" s="49" t="s">
        <v>126</v>
      </c>
      <c r="E32" s="14" t="s">
        <v>127</v>
      </c>
      <c r="F32" s="14" t="s">
        <v>14</v>
      </c>
      <c r="G32" s="16">
        <v>1050</v>
      </c>
      <c r="H32" s="37">
        <v>0.23</v>
      </c>
      <c r="I32" s="169">
        <f t="shared" si="0"/>
        <v>241.5</v>
      </c>
    </row>
    <row r="33" customHeight="1" spans="1:10">
      <c r="A33" s="19"/>
      <c r="B33" s="17"/>
      <c r="C33" s="17"/>
      <c r="D33" s="49"/>
      <c r="E33" s="14"/>
      <c r="F33" s="16" t="s">
        <v>15</v>
      </c>
      <c r="G33" s="16">
        <v>1050</v>
      </c>
      <c r="H33" s="16">
        <v>0.08</v>
      </c>
      <c r="I33" s="169">
        <f t="shared" si="0"/>
        <v>84</v>
      </c>
    </row>
    <row r="34" customHeight="1" spans="1:10">
      <c r="A34" s="19"/>
      <c r="B34" s="17"/>
      <c r="C34" s="17"/>
      <c r="D34" s="49"/>
      <c r="E34" s="14"/>
      <c r="F34" s="50" t="s">
        <v>28</v>
      </c>
      <c r="G34" s="16">
        <f>1050*4</f>
        <v>4200</v>
      </c>
      <c r="H34" s="50">
        <v>0.04</v>
      </c>
      <c r="I34" s="169">
        <f t="shared" si="0"/>
        <v>168</v>
      </c>
    </row>
    <row r="35" customHeight="1" spans="1:10">
      <c r="A35" s="19"/>
      <c r="B35" s="17"/>
      <c r="C35" s="17"/>
      <c r="D35" s="49"/>
      <c r="E35" s="14"/>
      <c r="F35" s="14" t="s">
        <v>17</v>
      </c>
      <c r="G35" s="16">
        <v>1050</v>
      </c>
      <c r="H35" s="16">
        <v>0.12</v>
      </c>
      <c r="I35" s="169">
        <f t="shared" si="0"/>
        <v>126</v>
      </c>
    </row>
    <row r="36" customHeight="1" spans="1:10">
      <c r="A36" s="19">
        <v>45674</v>
      </c>
      <c r="B36" s="17" t="s">
        <v>10</v>
      </c>
      <c r="C36" s="20">
        <v>19291</v>
      </c>
      <c r="D36" s="49" t="s">
        <v>128</v>
      </c>
      <c r="E36" s="14" t="s">
        <v>129</v>
      </c>
      <c r="F36" s="14" t="s">
        <v>14</v>
      </c>
      <c r="G36" s="16">
        <v>21000</v>
      </c>
      <c r="H36" s="37">
        <v>0.23</v>
      </c>
      <c r="I36" s="169">
        <f t="shared" si="0"/>
        <v>4830</v>
      </c>
    </row>
    <row r="37" customHeight="1" spans="1:10">
      <c r="A37" s="19"/>
      <c r="B37" s="17"/>
      <c r="C37" s="17"/>
      <c r="D37" s="49"/>
      <c r="E37" s="14"/>
      <c r="F37" s="16" t="s">
        <v>15</v>
      </c>
      <c r="G37" s="16">
        <v>21000</v>
      </c>
      <c r="H37" s="16">
        <v>0.08</v>
      </c>
      <c r="I37" s="169">
        <f t="shared" si="0"/>
        <v>1680</v>
      </c>
    </row>
    <row r="38" customHeight="1" spans="1:10">
      <c r="A38" s="19"/>
      <c r="B38" s="17"/>
      <c r="C38" s="17"/>
      <c r="D38" s="49"/>
      <c r="E38" s="14"/>
      <c r="F38" s="16" t="s">
        <v>25</v>
      </c>
      <c r="G38" s="16">
        <f>21000*5</f>
        <v>105000</v>
      </c>
      <c r="H38" s="50">
        <v>0.04</v>
      </c>
      <c r="I38" s="169">
        <f t="shared" si="0"/>
        <v>4200</v>
      </c>
    </row>
    <row r="39" customHeight="1" spans="1:10">
      <c r="A39" s="19"/>
      <c r="B39" s="17"/>
      <c r="C39" s="17"/>
      <c r="D39" s="49"/>
      <c r="E39" s="14"/>
      <c r="F39" s="14" t="s">
        <v>17</v>
      </c>
      <c r="G39" s="16">
        <v>21000</v>
      </c>
      <c r="H39" s="16">
        <v>0.12</v>
      </c>
      <c r="I39" s="169">
        <f t="shared" si="0"/>
        <v>2520</v>
      </c>
    </row>
    <row r="40" customHeight="1" spans="1:10">
      <c r="I40" s="31">
        <f>SUM(I3:I39)</f>
        <v>127271.495</v>
      </c>
      <c r="J40" s="171" t="s">
        <v>130</v>
      </c>
    </row>
    <row r="41" customHeight="1" spans="1:10">
      <c r="I41" s="31">
        <v>-100714.095</v>
      </c>
      <c r="J41" s="2"/>
    </row>
    <row r="42" customHeight="1" spans="1:10">
      <c r="I42" s="173">
        <f>I40+I41</f>
        <v>26557.4</v>
      </c>
      <c r="J42" s="171" t="s">
        <v>131</v>
      </c>
    </row>
    <row r="45" ht="28.5" spans="1:10">
      <c r="A45" s="131" t="s">
        <v>132</v>
      </c>
      <c r="B45" s="131"/>
      <c r="C45" s="131"/>
      <c r="D45" s="131"/>
      <c r="E45" s="131"/>
      <c r="F45" s="131"/>
      <c r="G45" s="131"/>
      <c r="H45" s="131"/>
      <c r="I45" s="131"/>
      <c r="J45" s="131"/>
    </row>
    <row r="46" ht="14.5" spans="1:10">
      <c r="A46" s="132" t="s">
        <v>133</v>
      </c>
      <c r="B46" s="132" t="s">
        <v>134</v>
      </c>
      <c r="C46" s="132" t="s">
        <v>135</v>
      </c>
      <c r="D46" s="132" t="s">
        <v>136</v>
      </c>
      <c r="E46" s="132" t="s">
        <v>137</v>
      </c>
      <c r="F46" s="133" t="s">
        <v>138</v>
      </c>
      <c r="G46" s="132" t="s">
        <v>139</v>
      </c>
      <c r="H46" s="132" t="s">
        <v>140</v>
      </c>
      <c r="I46" s="132" t="s">
        <v>141</v>
      </c>
      <c r="J46" s="132" t="s">
        <v>142</v>
      </c>
    </row>
    <row r="47" ht="28.5" spans="1:10">
      <c r="A47" s="132"/>
      <c r="B47" s="132"/>
      <c r="C47" s="132"/>
      <c r="D47" s="132" t="s">
        <v>143</v>
      </c>
      <c r="E47" s="132"/>
      <c r="F47" s="133" t="s">
        <v>144</v>
      </c>
      <c r="G47" s="132"/>
      <c r="H47" s="132"/>
      <c r="I47" s="134" t="s">
        <v>145</v>
      </c>
      <c r="J47" s="132"/>
    </row>
    <row r="48" ht="28" spans="1:10">
      <c r="A48" s="134">
        <v>1</v>
      </c>
      <c r="B48" s="159">
        <v>45860</v>
      </c>
      <c r="C48" s="132" t="s">
        <v>146</v>
      </c>
      <c r="D48" s="132" t="s">
        <v>147</v>
      </c>
      <c r="E48" s="132" t="s">
        <v>148</v>
      </c>
      <c r="F48" s="132" t="s">
        <v>149</v>
      </c>
      <c r="G48" s="132" t="s">
        <v>149</v>
      </c>
      <c r="H48" s="132" t="s">
        <v>149</v>
      </c>
      <c r="I48" s="160">
        <v>7492.66</v>
      </c>
      <c r="J48" s="132"/>
    </row>
    <row r="49" ht="28" spans="1:10">
      <c r="A49" s="134">
        <v>1</v>
      </c>
      <c r="B49" s="159">
        <v>45860</v>
      </c>
      <c r="C49" s="132" t="s">
        <v>146</v>
      </c>
      <c r="D49" s="132" t="s">
        <v>147</v>
      </c>
      <c r="E49" s="132" t="s">
        <v>150</v>
      </c>
      <c r="F49" s="132" t="s">
        <v>149</v>
      </c>
      <c r="G49" s="132" t="s">
        <v>149</v>
      </c>
      <c r="H49" s="132" t="s">
        <v>149</v>
      </c>
      <c r="I49" s="160">
        <v>22477.97</v>
      </c>
      <c r="J49" s="132"/>
    </row>
    <row r="50" ht="28" spans="1:10">
      <c r="A50" s="134">
        <v>1</v>
      </c>
      <c r="B50" s="159">
        <v>45860</v>
      </c>
      <c r="C50" s="132" t="s">
        <v>146</v>
      </c>
      <c r="D50" s="132" t="s">
        <v>147</v>
      </c>
      <c r="E50" s="132" t="s">
        <v>151</v>
      </c>
      <c r="F50" s="132" t="s">
        <v>149</v>
      </c>
      <c r="G50" s="132" t="s">
        <v>149</v>
      </c>
      <c r="H50" s="132" t="s">
        <v>149</v>
      </c>
      <c r="I50" s="160">
        <v>14985.32</v>
      </c>
      <c r="J50" s="132"/>
    </row>
    <row r="51" ht="28" spans="1:10">
      <c r="A51" s="134">
        <v>1</v>
      </c>
      <c r="B51" s="159">
        <v>45860</v>
      </c>
      <c r="C51" s="132" t="s">
        <v>146</v>
      </c>
      <c r="D51" s="132" t="s">
        <v>147</v>
      </c>
      <c r="E51" s="132" t="s">
        <v>148</v>
      </c>
      <c r="F51" s="132" t="s">
        <v>149</v>
      </c>
      <c r="G51" s="132" t="s">
        <v>149</v>
      </c>
      <c r="H51" s="132" t="s">
        <v>149</v>
      </c>
      <c r="I51" s="160">
        <v>1248.81</v>
      </c>
      <c r="J51" s="132"/>
    </row>
    <row r="52" ht="28" spans="1:10">
      <c r="A52" s="134">
        <v>1</v>
      </c>
      <c r="B52" s="159">
        <v>45860</v>
      </c>
      <c r="C52" s="132" t="s">
        <v>146</v>
      </c>
      <c r="D52" s="132" t="s">
        <v>147</v>
      </c>
      <c r="E52" s="132" t="s">
        <v>150</v>
      </c>
      <c r="F52" s="132" t="s">
        <v>149</v>
      </c>
      <c r="G52" s="132" t="s">
        <v>149</v>
      </c>
      <c r="H52" s="132" t="s">
        <v>149</v>
      </c>
      <c r="I52" s="160">
        <v>2497.55</v>
      </c>
      <c r="J52" s="132"/>
    </row>
    <row r="53" ht="28" spans="1:10">
      <c r="A53" s="134">
        <v>1</v>
      </c>
      <c r="B53" s="159">
        <v>45860</v>
      </c>
      <c r="C53" s="132" t="s">
        <v>146</v>
      </c>
      <c r="D53" s="132" t="s">
        <v>147</v>
      </c>
      <c r="E53" s="132" t="s">
        <v>151</v>
      </c>
      <c r="F53" s="132" t="s">
        <v>149</v>
      </c>
      <c r="G53" s="132" t="s">
        <v>149</v>
      </c>
      <c r="H53" s="132" t="s">
        <v>149</v>
      </c>
      <c r="I53" s="160">
        <v>28897.99</v>
      </c>
      <c r="J53" s="132"/>
    </row>
    <row r="54"/>
    <row r="55"/>
    <row r="56"/>
    <row r="57"/>
  </sheetData>
  <autoFilter xmlns:etc="http://www.wps.cn/officeDocument/2017/etCustomData" ref="A1:I42" etc:filterBottomFollowUsedRange="0">
    <extLst/>
  </autoFilter>
  <mergeCells count="54">
    <mergeCell ref="A1:I1"/>
    <mergeCell ref="A45:J45"/>
    <mergeCell ref="A3:A6"/>
    <mergeCell ref="A7:A10"/>
    <mergeCell ref="A11:A14"/>
    <mergeCell ref="A15:A18"/>
    <mergeCell ref="A19:A22"/>
    <mergeCell ref="A23:A26"/>
    <mergeCell ref="A28:A31"/>
    <mergeCell ref="A32:A35"/>
    <mergeCell ref="A36:A39"/>
    <mergeCell ref="A46:A47"/>
    <mergeCell ref="B3:B6"/>
    <mergeCell ref="B7:B10"/>
    <mergeCell ref="B11:B14"/>
    <mergeCell ref="B15:B18"/>
    <mergeCell ref="B19:B22"/>
    <mergeCell ref="B23:B26"/>
    <mergeCell ref="B28:B31"/>
    <mergeCell ref="B32:B35"/>
    <mergeCell ref="B36:B39"/>
    <mergeCell ref="B46:B47"/>
    <mergeCell ref="C3:C6"/>
    <mergeCell ref="C7:C10"/>
    <mergeCell ref="C11:C14"/>
    <mergeCell ref="C15:C18"/>
    <mergeCell ref="C19:C22"/>
    <mergeCell ref="C23:C26"/>
    <mergeCell ref="C28:C31"/>
    <mergeCell ref="C32:C35"/>
    <mergeCell ref="C36:C39"/>
    <mergeCell ref="C46:C47"/>
    <mergeCell ref="D3:D6"/>
    <mergeCell ref="D7:D10"/>
    <mergeCell ref="D11:D14"/>
    <mergeCell ref="D15:D18"/>
    <mergeCell ref="D19:D22"/>
    <mergeCell ref="D23:D26"/>
    <mergeCell ref="D28:D31"/>
    <mergeCell ref="D32:D35"/>
    <mergeCell ref="D36:D39"/>
    <mergeCell ref="E3:E6"/>
    <mergeCell ref="E7:E10"/>
    <mergeCell ref="E11:E14"/>
    <mergeCell ref="E15:E18"/>
    <mergeCell ref="E19:E22"/>
    <mergeCell ref="E23:E26"/>
    <mergeCell ref="E28:E31"/>
    <mergeCell ref="E32:E35"/>
    <mergeCell ref="E36:E39"/>
    <mergeCell ref="E46:E47"/>
    <mergeCell ref="G46:G47"/>
    <mergeCell ref="H46:H47"/>
    <mergeCell ref="J46:J4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6" workbookViewId="0">
      <selection activeCell="E43" sqref="E4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2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61">
        <v>45650</v>
      </c>
      <c r="B3" s="162" t="s">
        <v>10</v>
      </c>
      <c r="C3" s="99"/>
      <c r="D3" s="35" t="s">
        <v>152</v>
      </c>
      <c r="E3" s="36" t="s">
        <v>153</v>
      </c>
      <c r="F3" s="14" t="s">
        <v>154</v>
      </c>
      <c r="G3" s="16">
        <v>1375</v>
      </c>
      <c r="H3" s="16">
        <v>0.2</v>
      </c>
      <c r="I3" s="163">
        <f t="shared" ref="I3:I23" si="0">G3*H3</f>
        <v>275</v>
      </c>
    </row>
    <row r="4" customHeight="1" spans="1:10">
      <c r="A4" s="164"/>
      <c r="B4" s="165"/>
      <c r="C4" s="109"/>
      <c r="D4" s="41"/>
      <c r="E4" s="42"/>
      <c r="F4" s="21" t="s">
        <v>155</v>
      </c>
      <c r="G4" s="16">
        <v>280</v>
      </c>
      <c r="H4" s="16">
        <v>0.28</v>
      </c>
      <c r="I4" s="163">
        <f t="shared" si="0"/>
        <v>78.4</v>
      </c>
    </row>
    <row r="5" customHeight="1" spans="1:10">
      <c r="A5" s="164"/>
      <c r="B5" s="165"/>
      <c r="C5" s="109"/>
      <c r="D5" s="41"/>
      <c r="E5" s="42"/>
      <c r="F5" s="16" t="s">
        <v>28</v>
      </c>
      <c r="G5" s="48">
        <f>16800*4</f>
        <v>67200</v>
      </c>
      <c r="H5" s="16">
        <v>0.04</v>
      </c>
      <c r="I5" s="163">
        <f t="shared" si="0"/>
        <v>2688</v>
      </c>
    </row>
    <row r="6" customHeight="1" spans="1:10">
      <c r="A6" s="164"/>
      <c r="B6" s="165"/>
      <c r="C6" s="109"/>
      <c r="D6" s="41"/>
      <c r="E6" s="42"/>
      <c r="F6" s="14" t="s">
        <v>156</v>
      </c>
      <c r="G6" s="48">
        <v>16800</v>
      </c>
      <c r="H6" s="16">
        <v>0.158</v>
      </c>
      <c r="I6" s="163">
        <f t="shared" si="0"/>
        <v>2654.4</v>
      </c>
    </row>
    <row r="7" customHeight="1" spans="1:10">
      <c r="A7" s="164"/>
      <c r="B7" s="165"/>
      <c r="C7" s="109"/>
      <c r="D7" s="41"/>
      <c r="E7" s="42"/>
      <c r="F7" s="20" t="s">
        <v>157</v>
      </c>
      <c r="G7" s="48">
        <v>16800</v>
      </c>
      <c r="H7" s="16">
        <v>0.85</v>
      </c>
      <c r="I7" s="163">
        <f t="shared" si="0"/>
        <v>14280</v>
      </c>
    </row>
    <row r="8" customHeight="1" spans="1:10">
      <c r="A8" s="164"/>
      <c r="B8" s="165"/>
      <c r="C8" s="109"/>
      <c r="D8" s="41"/>
      <c r="E8" s="42"/>
      <c r="F8" s="20" t="s">
        <v>158</v>
      </c>
      <c r="G8" s="48">
        <f>16800*0.01</f>
        <v>168</v>
      </c>
      <c r="H8" s="16">
        <v>0</v>
      </c>
      <c r="I8" s="163">
        <f t="shared" si="0"/>
        <v>0</v>
      </c>
    </row>
    <row r="9" customHeight="1" spans="1:10">
      <c r="A9" s="164"/>
      <c r="B9" s="165"/>
      <c r="C9" s="109"/>
      <c r="D9" s="41"/>
      <c r="E9" s="42"/>
      <c r="F9" s="20" t="s">
        <v>159</v>
      </c>
      <c r="G9" s="48">
        <v>25</v>
      </c>
      <c r="H9" s="16">
        <v>0</v>
      </c>
      <c r="I9" s="163">
        <f t="shared" si="0"/>
        <v>0</v>
      </c>
      <c r="J9" s="1" t="s">
        <v>160</v>
      </c>
    </row>
    <row r="10" customHeight="1" spans="1:10">
      <c r="A10" s="164"/>
      <c r="B10" s="165"/>
      <c r="C10" s="109"/>
      <c r="D10" s="41"/>
      <c r="E10" s="42"/>
      <c r="F10" s="14" t="s">
        <v>161</v>
      </c>
      <c r="G10" s="16">
        <v>1189</v>
      </c>
      <c r="H10" s="37">
        <v>0.22</v>
      </c>
      <c r="I10" s="163">
        <f t="shared" si="0"/>
        <v>261.58</v>
      </c>
    </row>
    <row r="11" customHeight="1" spans="1:10">
      <c r="A11" s="164"/>
      <c r="B11" s="165"/>
      <c r="C11" s="109"/>
      <c r="D11" s="41"/>
      <c r="E11" s="42"/>
      <c r="F11" s="14" t="s">
        <v>156</v>
      </c>
      <c r="G11" s="16">
        <v>1189</v>
      </c>
      <c r="H11" s="16">
        <v>0.158</v>
      </c>
      <c r="I11" s="163">
        <f t="shared" si="0"/>
        <v>187.862</v>
      </c>
    </row>
    <row r="12" customHeight="1" spans="1:10">
      <c r="A12" s="164"/>
      <c r="B12" s="165"/>
      <c r="C12" s="109"/>
      <c r="D12" s="41"/>
      <c r="E12" s="42"/>
      <c r="F12" s="16" t="s">
        <v>28</v>
      </c>
      <c r="G12" s="16">
        <f>1189*4</f>
        <v>4756</v>
      </c>
      <c r="H12" s="16">
        <v>0.04</v>
      </c>
      <c r="I12" s="163">
        <f t="shared" si="0"/>
        <v>190.24</v>
      </c>
    </row>
    <row r="13" customHeight="1" spans="1:10">
      <c r="A13" s="164"/>
      <c r="B13" s="165"/>
      <c r="C13" s="109"/>
      <c r="D13" s="41"/>
      <c r="E13" s="42"/>
      <c r="F13" s="14" t="s">
        <v>157</v>
      </c>
      <c r="G13" s="16">
        <v>1200</v>
      </c>
      <c r="H13" s="16">
        <v>0.85</v>
      </c>
      <c r="I13" s="163">
        <f t="shared" si="0"/>
        <v>1020</v>
      </c>
    </row>
    <row r="14" customHeight="1" spans="1:10">
      <c r="A14" s="166"/>
      <c r="B14" s="167"/>
      <c r="C14" s="168"/>
      <c r="D14" s="45"/>
      <c r="E14" s="46"/>
      <c r="F14" s="14" t="s">
        <v>158</v>
      </c>
      <c r="G14" s="16">
        <f>1200*0.01</f>
        <v>12</v>
      </c>
      <c r="H14" s="16">
        <v>0</v>
      </c>
      <c r="I14" s="163">
        <f t="shared" si="0"/>
        <v>0</v>
      </c>
    </row>
    <row r="15" customHeight="1" spans="1:10">
      <c r="A15" s="19">
        <v>45659</v>
      </c>
      <c r="B15" s="17" t="s">
        <v>10</v>
      </c>
      <c r="C15" s="20" t="s">
        <v>162</v>
      </c>
      <c r="D15" s="49" t="s">
        <v>163</v>
      </c>
      <c r="E15" s="14" t="s">
        <v>164</v>
      </c>
      <c r="F15" s="14" t="s">
        <v>14</v>
      </c>
      <c r="G15" s="52">
        <v>87000</v>
      </c>
      <c r="H15" s="16">
        <v>0.23</v>
      </c>
      <c r="I15" s="163">
        <f t="shared" si="0"/>
        <v>20010</v>
      </c>
    </row>
    <row r="16" customHeight="1" spans="1:10">
      <c r="A16" s="19"/>
      <c r="B16" s="17"/>
      <c r="C16" s="17"/>
      <c r="D16" s="49"/>
      <c r="E16" s="14"/>
      <c r="F16" s="16" t="s">
        <v>15</v>
      </c>
      <c r="G16" s="52">
        <v>87000</v>
      </c>
      <c r="H16" s="16">
        <v>0.08</v>
      </c>
      <c r="I16" s="163">
        <f t="shared" si="0"/>
        <v>6960</v>
      </c>
    </row>
    <row r="17" customHeight="1" spans="1:10">
      <c r="A17" s="19"/>
      <c r="B17" s="17"/>
      <c r="C17" s="17"/>
      <c r="D17" s="49"/>
      <c r="E17" s="14"/>
      <c r="F17" s="14" t="s">
        <v>154</v>
      </c>
      <c r="G17" s="16">
        <v>3682</v>
      </c>
      <c r="H17" s="16">
        <v>0.2</v>
      </c>
      <c r="I17" s="163">
        <f t="shared" si="0"/>
        <v>736.4</v>
      </c>
    </row>
    <row r="18" customHeight="1" spans="1:10">
      <c r="A18" s="19"/>
      <c r="B18" s="17"/>
      <c r="C18" s="17"/>
      <c r="D18" s="49"/>
      <c r="E18" s="14"/>
      <c r="F18" s="16" t="s">
        <v>165</v>
      </c>
      <c r="G18" s="52">
        <f>87000*6</f>
        <v>522000</v>
      </c>
      <c r="H18" s="16">
        <v>0.04</v>
      </c>
      <c r="I18" s="163">
        <f t="shared" si="0"/>
        <v>20880</v>
      </c>
      <c r="J18" s="1" t="s">
        <v>160</v>
      </c>
    </row>
    <row r="19" customHeight="1" spans="1:10">
      <c r="A19" s="19"/>
      <c r="B19" s="17"/>
      <c r="C19" s="17"/>
      <c r="D19" s="49"/>
      <c r="E19" s="14"/>
      <c r="F19" s="14" t="s">
        <v>109</v>
      </c>
      <c r="G19" s="52">
        <v>87000</v>
      </c>
      <c r="H19" s="16">
        <v>0.095</v>
      </c>
      <c r="I19" s="169">
        <f t="shared" si="0"/>
        <v>8265</v>
      </c>
    </row>
    <row r="20" customHeight="1" spans="1:10">
      <c r="A20" s="19">
        <v>45693</v>
      </c>
      <c r="B20" s="20" t="s">
        <v>10</v>
      </c>
      <c r="C20" s="20">
        <v>19745</v>
      </c>
      <c r="D20" s="22" t="s">
        <v>166</v>
      </c>
      <c r="E20" s="21" t="s">
        <v>167</v>
      </c>
      <c r="F20" s="14" t="s">
        <v>14</v>
      </c>
      <c r="G20" s="17">
        <f>13650+15750</f>
        <v>29400</v>
      </c>
      <c r="H20" s="17">
        <v>0.22</v>
      </c>
      <c r="I20" s="17">
        <f t="shared" si="0"/>
        <v>6468</v>
      </c>
    </row>
    <row r="21" customHeight="1" spans="1:10">
      <c r="A21" s="19"/>
      <c r="B21" s="20"/>
      <c r="C21" s="20"/>
      <c r="D21" s="22"/>
      <c r="E21" s="20"/>
      <c r="F21" s="16" t="s">
        <v>15</v>
      </c>
      <c r="G21" s="17">
        <f>13650+15750</f>
        <v>29400</v>
      </c>
      <c r="H21" s="17">
        <v>0.08</v>
      </c>
      <c r="I21" s="17">
        <f t="shared" si="0"/>
        <v>2352</v>
      </c>
      <c r="J21" s="1" t="s">
        <v>160</v>
      </c>
    </row>
    <row r="22" customHeight="1" spans="1:10">
      <c r="A22" s="19"/>
      <c r="B22" s="20"/>
      <c r="C22" s="20"/>
      <c r="D22" s="22"/>
      <c r="E22" s="20"/>
      <c r="F22" s="16" t="s">
        <v>25</v>
      </c>
      <c r="G22" s="17">
        <f>G20*5</f>
        <v>147000</v>
      </c>
      <c r="H22" s="17">
        <v>0.04</v>
      </c>
      <c r="I22" s="17">
        <f t="shared" si="0"/>
        <v>5880</v>
      </c>
    </row>
    <row r="23" customHeight="1" spans="1:10">
      <c r="A23" s="19"/>
      <c r="B23" s="20"/>
      <c r="C23" s="20"/>
      <c r="D23" s="22"/>
      <c r="E23" s="20"/>
      <c r="F23" s="14" t="s">
        <v>17</v>
      </c>
      <c r="G23" s="17">
        <f>13650+15750</f>
        <v>29400</v>
      </c>
      <c r="H23" s="17">
        <v>0.12</v>
      </c>
      <c r="I23" s="17">
        <f t="shared" si="0"/>
        <v>3528</v>
      </c>
    </row>
    <row r="24" customHeight="1" spans="1:10">
      <c r="I24" s="170">
        <f>SUM(I3:I23)</f>
        <v>96714.882</v>
      </c>
    </row>
    <row r="25" customHeight="1" spans="1:10">
      <c r="I25" s="170">
        <v>-51042.9</v>
      </c>
      <c r="J25" s="171" t="s">
        <v>168</v>
      </c>
    </row>
    <row r="26" customHeight="1" spans="1:10">
      <c r="I26" s="172">
        <f>I24+I25</f>
        <v>45671.982</v>
      </c>
    </row>
    <row r="32" ht="28.5" spans="1:10">
      <c r="A32" s="131" t="s">
        <v>132</v>
      </c>
      <c r="B32" s="131"/>
      <c r="C32" s="131"/>
      <c r="D32" s="131"/>
      <c r="E32" s="131"/>
      <c r="F32" s="131"/>
      <c r="G32" s="131"/>
      <c r="H32" s="131"/>
      <c r="I32" s="131"/>
      <c r="J32" s="131"/>
    </row>
    <row r="33" customHeight="1" spans="1:10">
      <c r="A33" s="132" t="s">
        <v>133</v>
      </c>
      <c r="B33" s="132" t="s">
        <v>134</v>
      </c>
      <c r="C33" s="132" t="s">
        <v>135</v>
      </c>
      <c r="D33" s="132" t="s">
        <v>136</v>
      </c>
      <c r="E33" s="132" t="s">
        <v>137</v>
      </c>
      <c r="F33" s="133" t="s">
        <v>138</v>
      </c>
      <c r="G33" s="132" t="s">
        <v>139</v>
      </c>
      <c r="H33" s="132" t="s">
        <v>140</v>
      </c>
      <c r="I33" s="132" t="s">
        <v>141</v>
      </c>
      <c r="J33" s="132" t="s">
        <v>142</v>
      </c>
    </row>
    <row r="34" customHeight="1" spans="1:10">
      <c r="A34" s="132"/>
      <c r="B34" s="132"/>
      <c r="C34" s="132"/>
      <c r="D34" s="132" t="s">
        <v>143</v>
      </c>
      <c r="E34" s="132"/>
      <c r="F34" s="133" t="s">
        <v>144</v>
      </c>
      <c r="G34" s="132"/>
      <c r="H34" s="132"/>
      <c r="I34" s="134" t="s">
        <v>145</v>
      </c>
      <c r="J34" s="132"/>
    </row>
    <row r="35" ht="42" spans="1:10">
      <c r="A35" s="134">
        <v>1</v>
      </c>
      <c r="B35" s="159">
        <v>45917</v>
      </c>
      <c r="C35" s="132" t="s">
        <v>146</v>
      </c>
      <c r="D35" s="132" t="s">
        <v>147</v>
      </c>
      <c r="E35" s="132" t="s">
        <v>148</v>
      </c>
      <c r="F35" s="132" t="s">
        <v>149</v>
      </c>
      <c r="G35" s="132" t="s">
        <v>149</v>
      </c>
      <c r="H35" s="132" t="s">
        <v>149</v>
      </c>
      <c r="I35" s="160">
        <v>9588.47</v>
      </c>
      <c r="J35" s="132"/>
    </row>
    <row r="36" ht="42" spans="1:10">
      <c r="A36" s="134">
        <v>1</v>
      </c>
      <c r="B36" s="159">
        <v>45917</v>
      </c>
      <c r="C36" s="132" t="s">
        <v>146</v>
      </c>
      <c r="D36" s="132" t="s">
        <v>147</v>
      </c>
      <c r="E36" s="132" t="s">
        <v>150</v>
      </c>
      <c r="F36" s="132" t="s">
        <v>149</v>
      </c>
      <c r="G36" s="132" t="s">
        <v>149</v>
      </c>
      <c r="H36" s="132" t="s">
        <v>149</v>
      </c>
      <c r="I36" s="160">
        <v>19176.87</v>
      </c>
      <c r="J36" s="132"/>
    </row>
    <row r="37" ht="42" spans="1:10">
      <c r="A37" s="134">
        <v>1</v>
      </c>
      <c r="B37" s="159">
        <v>45917</v>
      </c>
      <c r="C37" s="132" t="s">
        <v>146</v>
      </c>
      <c r="D37" s="132" t="s">
        <v>147</v>
      </c>
      <c r="E37" s="132" t="s">
        <v>151</v>
      </c>
      <c r="F37" s="132" t="s">
        <v>149</v>
      </c>
      <c r="G37" s="132" t="s">
        <v>149</v>
      </c>
      <c r="H37" s="132" t="s">
        <v>149</v>
      </c>
      <c r="I37" s="160">
        <v>29067.45</v>
      </c>
      <c r="J37" s="132"/>
    </row>
    <row r="38" ht="42" spans="1:10">
      <c r="A38" s="134">
        <v>1</v>
      </c>
      <c r="B38" s="159">
        <v>45917</v>
      </c>
      <c r="C38" s="132" t="s">
        <v>146</v>
      </c>
      <c r="D38" s="132" t="s">
        <v>147</v>
      </c>
      <c r="E38" s="132" t="s">
        <v>148</v>
      </c>
      <c r="F38" s="132" t="s">
        <v>149</v>
      </c>
      <c r="G38" s="132" t="s">
        <v>149</v>
      </c>
      <c r="H38" s="132" t="s">
        <v>149</v>
      </c>
      <c r="I38" s="160">
        <v>23657.4</v>
      </c>
      <c r="J38" s="132"/>
    </row>
    <row r="39" ht="42" spans="1:10">
      <c r="A39" s="134">
        <v>1</v>
      </c>
      <c r="B39" s="159">
        <v>45917</v>
      </c>
      <c r="C39" s="132" t="s">
        <v>146</v>
      </c>
      <c r="D39" s="132" t="s">
        <v>147</v>
      </c>
      <c r="E39" s="132" t="s">
        <v>150</v>
      </c>
      <c r="F39" s="132" t="s">
        <v>149</v>
      </c>
      <c r="G39" s="132" t="s">
        <v>149</v>
      </c>
      <c r="H39" s="132" t="s">
        <v>149</v>
      </c>
      <c r="I39" s="160">
        <v>47314.73</v>
      </c>
      <c r="J39" s="132"/>
    </row>
    <row r="40" ht="42" spans="1:10">
      <c r="A40" s="134">
        <v>1</v>
      </c>
      <c r="B40" s="159">
        <v>45917</v>
      </c>
      <c r="C40" s="132" t="s">
        <v>146</v>
      </c>
      <c r="D40" s="132" t="s">
        <v>147</v>
      </c>
      <c r="E40" s="132" t="s">
        <v>151</v>
      </c>
      <c r="F40" s="132" t="s">
        <v>149</v>
      </c>
      <c r="G40" s="132" t="s">
        <v>149</v>
      </c>
      <c r="H40" s="132" t="s">
        <v>149</v>
      </c>
      <c r="I40" s="160">
        <v>9258.93</v>
      </c>
      <c r="J40" s="132"/>
    </row>
  </sheetData>
  <autoFilter xmlns:etc="http://www.wps.cn/officeDocument/2017/etCustomData" ref="A1:I26" etc:filterBottomFollowUsedRange="0">
    <extLst/>
  </autoFilter>
  <mergeCells count="24">
    <mergeCell ref="A1:I1"/>
    <mergeCell ref="A32:J32"/>
    <mergeCell ref="A3:A14"/>
    <mergeCell ref="A15:A19"/>
    <mergeCell ref="A20:A23"/>
    <mergeCell ref="A33:A34"/>
    <mergeCell ref="B3:B14"/>
    <mergeCell ref="B15:B19"/>
    <mergeCell ref="B20:B23"/>
    <mergeCell ref="B33:B34"/>
    <mergeCell ref="C3:C14"/>
    <mergeCell ref="C15:C19"/>
    <mergeCell ref="C20:C23"/>
    <mergeCell ref="C33:C34"/>
    <mergeCell ref="D3:D14"/>
    <mergeCell ref="D15:D19"/>
    <mergeCell ref="D20:D23"/>
    <mergeCell ref="E3:E14"/>
    <mergeCell ref="E15:E19"/>
    <mergeCell ref="E20:E23"/>
    <mergeCell ref="E33:E34"/>
    <mergeCell ref="G33:G34"/>
    <mergeCell ref="H33:H34"/>
    <mergeCell ref="J33:J3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selection activeCell="I29" sqref="I3:I6 I29:I44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3.0909090909091" style="1" customWidth="1"/>
    <col min="5" max="5" width="28.5454545454545" style="1" customWidth="1"/>
    <col min="6" max="6" width="56.0909090909091" style="1" customWidth="1"/>
    <col min="7" max="8" width="11" style="1" customWidth="1"/>
    <col min="9" max="9" width="14.9090909090909" style="1" customWidth="1"/>
    <col min="10" max="10" width="8.72727272727273" style="1"/>
    <col min="11" max="11" width="10.5454545454545" style="1"/>
    <col min="12" max="16384" width="8.72727272727273" style="1"/>
  </cols>
  <sheetData>
    <row r="1" ht="21" customHeight="1" spans="1:10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0">
      <c r="A3" s="19">
        <v>45707</v>
      </c>
      <c r="B3" s="20" t="s">
        <v>10</v>
      </c>
      <c r="C3" s="20">
        <v>21512</v>
      </c>
      <c r="D3" s="15" t="s">
        <v>169</v>
      </c>
      <c r="E3" s="14" t="s">
        <v>170</v>
      </c>
      <c r="F3" s="14" t="s">
        <v>14</v>
      </c>
      <c r="G3" s="17">
        <f>10500+5250</f>
        <v>15750</v>
      </c>
      <c r="H3" s="17">
        <v>0.22</v>
      </c>
      <c r="I3" s="147">
        <f t="shared" ref="I3:I44" si="0">G3*H3</f>
        <v>3465</v>
      </c>
    </row>
    <row r="4" customHeight="1" spans="1:10">
      <c r="A4" s="19"/>
      <c r="B4" s="20"/>
      <c r="C4" s="20"/>
      <c r="D4" s="15"/>
      <c r="E4" s="14"/>
      <c r="F4" s="16" t="s">
        <v>15</v>
      </c>
      <c r="G4" s="17">
        <f>10500+5250</f>
        <v>15750</v>
      </c>
      <c r="H4" s="17">
        <v>0.08</v>
      </c>
      <c r="I4" s="147">
        <f t="shared" si="0"/>
        <v>1260</v>
      </c>
    </row>
    <row r="5" customHeight="1" spans="1:10">
      <c r="A5" s="19"/>
      <c r="B5" s="20"/>
      <c r="C5" s="20"/>
      <c r="D5" s="15"/>
      <c r="E5" s="14"/>
      <c r="F5" s="16" t="s">
        <v>25</v>
      </c>
      <c r="G5" s="17">
        <f>G4*5</f>
        <v>78750</v>
      </c>
      <c r="H5" s="17">
        <v>0.04</v>
      </c>
      <c r="I5" s="147">
        <f t="shared" si="0"/>
        <v>3150</v>
      </c>
    </row>
    <row r="6" customHeight="1" spans="1:10">
      <c r="A6" s="19"/>
      <c r="B6" s="20"/>
      <c r="C6" s="20"/>
      <c r="D6" s="15"/>
      <c r="E6" s="14"/>
      <c r="F6" s="14" t="s">
        <v>17</v>
      </c>
      <c r="G6" s="17">
        <f>10500+5250</f>
        <v>15750</v>
      </c>
      <c r="H6" s="17">
        <v>0.12</v>
      </c>
      <c r="I6" s="147">
        <f t="shared" si="0"/>
        <v>1890</v>
      </c>
    </row>
    <row r="7" customHeight="1" spans="1:10">
      <c r="A7" s="19">
        <v>45707</v>
      </c>
      <c r="B7" s="20" t="s">
        <v>10</v>
      </c>
      <c r="C7" s="20" t="s">
        <v>171</v>
      </c>
      <c r="D7" s="22" t="s">
        <v>172</v>
      </c>
      <c r="E7" s="21" t="s">
        <v>173</v>
      </c>
      <c r="F7" s="14" t="s">
        <v>14</v>
      </c>
      <c r="G7" s="17">
        <f>1079+1193+4171+4057+2200+7249+4200</f>
        <v>24149</v>
      </c>
      <c r="H7" s="17">
        <v>0.22</v>
      </c>
      <c r="I7" s="17">
        <f t="shared" si="0"/>
        <v>5312.78</v>
      </c>
    </row>
    <row r="8" customHeight="1" spans="1:10">
      <c r="A8" s="19"/>
      <c r="B8" s="20"/>
      <c r="C8" s="20"/>
      <c r="D8" s="22"/>
      <c r="E8" s="20"/>
      <c r="F8" s="16" t="s">
        <v>15</v>
      </c>
      <c r="G8" s="17">
        <f>1079+1193+4171+4057+2200+7249+4200</f>
        <v>24149</v>
      </c>
      <c r="H8" s="17">
        <v>0.08</v>
      </c>
      <c r="I8" s="17">
        <f t="shared" si="0"/>
        <v>1931.92</v>
      </c>
    </row>
    <row r="9" customHeight="1" spans="1:10">
      <c r="A9" s="19"/>
      <c r="B9" s="20"/>
      <c r="C9" s="20"/>
      <c r="D9" s="22"/>
      <c r="E9" s="20"/>
      <c r="F9" s="16" t="s">
        <v>63</v>
      </c>
      <c r="G9" s="17">
        <f>24149*5</f>
        <v>120745</v>
      </c>
      <c r="H9" s="17">
        <v>0.04</v>
      </c>
      <c r="I9" s="17">
        <f t="shared" si="0"/>
        <v>4829.8</v>
      </c>
      <c r="J9" s="1" t="s">
        <v>160</v>
      </c>
    </row>
    <row r="10" customHeight="1" spans="1:10">
      <c r="A10" s="19"/>
      <c r="B10" s="20"/>
      <c r="C10" s="20"/>
      <c r="D10" s="22"/>
      <c r="E10" s="20"/>
      <c r="F10" s="14" t="s">
        <v>57</v>
      </c>
      <c r="G10" s="17">
        <f>1079+1193+4171+4057+2200+7249+4200</f>
        <v>24149</v>
      </c>
      <c r="H10" s="17">
        <v>0.26</v>
      </c>
      <c r="I10" s="17">
        <f t="shared" si="0"/>
        <v>6278.74</v>
      </c>
    </row>
    <row r="11" customHeight="1" spans="1:10">
      <c r="A11" s="123">
        <v>45710</v>
      </c>
      <c r="B11" s="36" t="s">
        <v>10</v>
      </c>
      <c r="C11" s="36">
        <v>19745</v>
      </c>
      <c r="D11" s="119" t="s">
        <v>174</v>
      </c>
      <c r="E11" s="36" t="s">
        <v>175</v>
      </c>
      <c r="F11" s="14" t="s">
        <v>14</v>
      </c>
      <c r="G11" s="17">
        <v>2000</v>
      </c>
      <c r="H11" s="17">
        <v>0.22</v>
      </c>
      <c r="I11" s="17">
        <f t="shared" si="0"/>
        <v>440</v>
      </c>
    </row>
    <row r="12" customHeight="1" spans="1:10">
      <c r="A12" s="13"/>
      <c r="B12" s="14"/>
      <c r="C12" s="14"/>
      <c r="D12" s="15"/>
      <c r="E12" s="14"/>
      <c r="F12" s="16" t="s">
        <v>15</v>
      </c>
      <c r="G12" s="17">
        <v>2000</v>
      </c>
      <c r="H12" s="17">
        <v>0.08</v>
      </c>
      <c r="I12" s="17">
        <f t="shared" si="0"/>
        <v>160</v>
      </c>
    </row>
    <row r="13" customHeight="1" spans="1:10">
      <c r="A13" s="13"/>
      <c r="B13" s="14"/>
      <c r="C13" s="14"/>
      <c r="D13" s="15"/>
      <c r="E13" s="14"/>
      <c r="F13" s="16" t="s">
        <v>176</v>
      </c>
      <c r="G13" s="17">
        <v>2000</v>
      </c>
      <c r="H13" s="17">
        <v>0.04</v>
      </c>
      <c r="I13" s="17">
        <f t="shared" si="0"/>
        <v>80</v>
      </c>
    </row>
    <row r="14" customHeight="1" spans="1:10">
      <c r="A14" s="120"/>
      <c r="B14" s="46"/>
      <c r="C14" s="46"/>
      <c r="D14" s="121"/>
      <c r="E14" s="46"/>
      <c r="F14" s="14" t="s">
        <v>17</v>
      </c>
      <c r="G14" s="17">
        <v>2000</v>
      </c>
      <c r="H14" s="17">
        <v>0.12</v>
      </c>
      <c r="I14" s="17">
        <f t="shared" si="0"/>
        <v>240</v>
      </c>
      <c r="J14" s="1" t="s">
        <v>160</v>
      </c>
    </row>
    <row r="15" customHeight="1" spans="1:10">
      <c r="A15" s="120"/>
      <c r="B15" s="46"/>
      <c r="C15" s="46"/>
      <c r="D15" s="121"/>
      <c r="E15" s="46"/>
      <c r="F15" s="14" t="s">
        <v>177</v>
      </c>
      <c r="G15" s="16">
        <f>600+430+1000</f>
        <v>2030</v>
      </c>
      <c r="H15" s="16">
        <v>0.22</v>
      </c>
      <c r="I15" s="17">
        <f t="shared" si="0"/>
        <v>446.6</v>
      </c>
    </row>
    <row r="16" customHeight="1" spans="1:10">
      <c r="A16" s="120"/>
      <c r="B16" s="46"/>
      <c r="C16" s="46"/>
      <c r="D16" s="121"/>
      <c r="E16" s="46"/>
      <c r="F16" s="16" t="s">
        <v>15</v>
      </c>
      <c r="G16" s="16">
        <f>600+430+1000</f>
        <v>2030</v>
      </c>
      <c r="H16" s="16">
        <v>0.08</v>
      </c>
      <c r="I16" s="17">
        <f t="shared" si="0"/>
        <v>162.4</v>
      </c>
    </row>
    <row r="17" customHeight="1" spans="1:10">
      <c r="A17" s="120"/>
      <c r="B17" s="46"/>
      <c r="C17" s="46"/>
      <c r="D17" s="121"/>
      <c r="E17" s="46"/>
      <c r="F17" s="14" t="s">
        <v>178</v>
      </c>
      <c r="G17" s="16">
        <f>600+430+1000</f>
        <v>2030</v>
      </c>
      <c r="H17" s="16">
        <v>0.04</v>
      </c>
      <c r="I17" s="17">
        <f t="shared" si="0"/>
        <v>81.2</v>
      </c>
    </row>
    <row r="18" customHeight="1" spans="1:10">
      <c r="A18" s="120"/>
      <c r="B18" s="46"/>
      <c r="C18" s="46"/>
      <c r="D18" s="121"/>
      <c r="E18" s="46"/>
      <c r="F18" s="14" t="s">
        <v>179</v>
      </c>
      <c r="G18" s="16">
        <f>600+430+1000</f>
        <v>2030</v>
      </c>
      <c r="H18" s="16">
        <v>0.12</v>
      </c>
      <c r="I18" s="17">
        <f t="shared" si="0"/>
        <v>243.6</v>
      </c>
    </row>
    <row r="19" customHeight="1" spans="1:10">
      <c r="A19" s="120"/>
      <c r="B19" s="46"/>
      <c r="C19" s="46"/>
      <c r="D19" s="121"/>
      <c r="E19" s="46"/>
      <c r="F19" s="14" t="s">
        <v>180</v>
      </c>
      <c r="G19" s="16">
        <v>600</v>
      </c>
      <c r="H19" s="16">
        <v>0.22</v>
      </c>
      <c r="I19" s="17">
        <f t="shared" si="0"/>
        <v>132</v>
      </c>
    </row>
    <row r="20" customHeight="1" spans="1:10">
      <c r="A20" s="120"/>
      <c r="B20" s="46"/>
      <c r="C20" s="46"/>
      <c r="D20" s="121"/>
      <c r="E20" s="46"/>
      <c r="F20" s="14" t="s">
        <v>15</v>
      </c>
      <c r="G20" s="16">
        <v>600</v>
      </c>
      <c r="H20" s="16">
        <v>0.08</v>
      </c>
      <c r="I20" s="17">
        <f t="shared" si="0"/>
        <v>48</v>
      </c>
    </row>
    <row r="21" customHeight="1" spans="1:10">
      <c r="A21" s="120"/>
      <c r="B21" s="46"/>
      <c r="C21" s="46"/>
      <c r="D21" s="121"/>
      <c r="E21" s="46"/>
      <c r="F21" s="14" t="s">
        <v>181</v>
      </c>
      <c r="G21" s="16">
        <v>600</v>
      </c>
      <c r="H21" s="16">
        <v>0.04</v>
      </c>
      <c r="I21" s="17">
        <f t="shared" si="0"/>
        <v>24</v>
      </c>
    </row>
    <row r="22" customHeight="1" spans="1:10">
      <c r="A22" s="128"/>
      <c r="B22" s="46"/>
      <c r="C22" s="46"/>
      <c r="D22" s="121"/>
      <c r="E22" s="46"/>
      <c r="F22" s="14" t="s">
        <v>182</v>
      </c>
      <c r="G22" s="16">
        <v>600</v>
      </c>
      <c r="H22" s="16">
        <v>0.12</v>
      </c>
      <c r="I22" s="17">
        <f t="shared" si="0"/>
        <v>72</v>
      </c>
    </row>
    <row r="23" customHeight="1" spans="1:10">
      <c r="A23" s="19">
        <v>45710</v>
      </c>
      <c r="B23" s="20" t="s">
        <v>10</v>
      </c>
      <c r="C23" s="20" t="s">
        <v>183</v>
      </c>
      <c r="D23" s="22" t="s">
        <v>184</v>
      </c>
      <c r="E23" s="21" t="s">
        <v>185</v>
      </c>
      <c r="F23" s="14" t="s">
        <v>186</v>
      </c>
      <c r="G23" s="17">
        <f>1252+3998</f>
        <v>5250</v>
      </c>
      <c r="H23" s="17">
        <v>0.22</v>
      </c>
      <c r="I23" s="17">
        <f t="shared" si="0"/>
        <v>1155</v>
      </c>
    </row>
    <row r="24" customHeight="1" spans="1:10">
      <c r="A24" s="19"/>
      <c r="B24" s="20"/>
      <c r="C24" s="20"/>
      <c r="D24" s="22"/>
      <c r="E24" s="20"/>
      <c r="F24" s="16" t="s">
        <v>15</v>
      </c>
      <c r="G24" s="17">
        <f>1252+3998</f>
        <v>5250</v>
      </c>
      <c r="H24" s="17">
        <v>0.08</v>
      </c>
      <c r="I24" s="17">
        <f t="shared" si="0"/>
        <v>420</v>
      </c>
    </row>
    <row r="25" customHeight="1" spans="1:10">
      <c r="A25" s="19"/>
      <c r="B25" s="20"/>
      <c r="C25" s="20"/>
      <c r="D25" s="22"/>
      <c r="E25" s="20"/>
      <c r="F25" s="14" t="s">
        <v>187</v>
      </c>
      <c r="G25" s="17">
        <f>1113+4137</f>
        <v>5250</v>
      </c>
      <c r="H25" s="17">
        <v>0.22</v>
      </c>
      <c r="I25" s="17">
        <f t="shared" si="0"/>
        <v>1155</v>
      </c>
    </row>
    <row r="26" customHeight="1" spans="1:10">
      <c r="A26" s="19"/>
      <c r="B26" s="20"/>
      <c r="C26" s="20"/>
      <c r="D26" s="22"/>
      <c r="E26" s="20"/>
      <c r="F26" s="16" t="s">
        <v>15</v>
      </c>
      <c r="G26" s="17">
        <f>1113+4137</f>
        <v>5250</v>
      </c>
      <c r="H26" s="17">
        <v>0.08</v>
      </c>
      <c r="I26" s="17">
        <f t="shared" si="0"/>
        <v>420</v>
      </c>
      <c r="J26" s="1" t="s">
        <v>160</v>
      </c>
    </row>
    <row r="27" customHeight="1" spans="1:10">
      <c r="A27" s="19"/>
      <c r="B27" s="20"/>
      <c r="C27" s="20"/>
      <c r="D27" s="22"/>
      <c r="E27" s="20"/>
      <c r="F27" s="16" t="s">
        <v>63</v>
      </c>
      <c r="G27" s="16">
        <f>10500*5</f>
        <v>52500</v>
      </c>
      <c r="H27" s="16">
        <v>0.04</v>
      </c>
      <c r="I27" s="17">
        <f t="shared" si="0"/>
        <v>2100</v>
      </c>
    </row>
    <row r="28" customHeight="1" spans="1:10">
      <c r="A28" s="19"/>
      <c r="B28" s="20"/>
      <c r="C28" s="20"/>
      <c r="D28" s="22"/>
      <c r="E28" s="20"/>
      <c r="F28" s="14" t="s">
        <v>188</v>
      </c>
      <c r="G28" s="17">
        <v>620</v>
      </c>
      <c r="H28" s="17">
        <v>0.26</v>
      </c>
      <c r="I28" s="17">
        <f t="shared" si="0"/>
        <v>161.2</v>
      </c>
    </row>
    <row r="29" customHeight="1" spans="1:10">
      <c r="A29" s="19">
        <v>45721</v>
      </c>
      <c r="B29" s="20" t="s">
        <v>10</v>
      </c>
      <c r="C29" s="20">
        <v>22440</v>
      </c>
      <c r="D29" s="22" t="s">
        <v>189</v>
      </c>
      <c r="E29" s="21" t="s">
        <v>190</v>
      </c>
      <c r="F29" s="14" t="s">
        <v>14</v>
      </c>
      <c r="G29" s="17">
        <f>5250+5250+3150</f>
        <v>13650</v>
      </c>
      <c r="H29" s="17">
        <v>0.22</v>
      </c>
      <c r="I29" s="147">
        <f t="shared" si="0"/>
        <v>3003</v>
      </c>
    </row>
    <row r="30" customHeight="1" spans="1:10">
      <c r="A30" s="19"/>
      <c r="B30" s="20"/>
      <c r="C30" s="20"/>
      <c r="D30" s="22"/>
      <c r="E30" s="20"/>
      <c r="F30" s="16" t="s">
        <v>15</v>
      </c>
      <c r="G30" s="17">
        <f>5250+5250+3150</f>
        <v>13650</v>
      </c>
      <c r="H30" s="17">
        <v>0.08</v>
      </c>
      <c r="I30" s="147">
        <f t="shared" si="0"/>
        <v>1092</v>
      </c>
    </row>
    <row r="31" customHeight="1" spans="1:10">
      <c r="A31" s="19"/>
      <c r="B31" s="20"/>
      <c r="C31" s="20"/>
      <c r="D31" s="22"/>
      <c r="E31" s="20"/>
      <c r="F31" s="16" t="s">
        <v>25</v>
      </c>
      <c r="G31" s="17">
        <f>13650*5</f>
        <v>68250</v>
      </c>
      <c r="H31" s="17">
        <v>0.04</v>
      </c>
      <c r="I31" s="147">
        <f t="shared" si="0"/>
        <v>2730</v>
      </c>
    </row>
    <row r="32" customHeight="1" spans="1:10">
      <c r="A32" s="19"/>
      <c r="B32" s="20"/>
      <c r="C32" s="20"/>
      <c r="D32" s="22"/>
      <c r="E32" s="20"/>
      <c r="F32" s="14" t="s">
        <v>17</v>
      </c>
      <c r="G32" s="17">
        <v>10627</v>
      </c>
      <c r="H32" s="17">
        <v>0.12</v>
      </c>
      <c r="I32" s="147">
        <f t="shared" si="0"/>
        <v>1275.24</v>
      </c>
    </row>
    <row r="33" customHeight="1" spans="1:9">
      <c r="A33" s="19">
        <v>45726</v>
      </c>
      <c r="B33" s="20" t="s">
        <v>10</v>
      </c>
      <c r="C33" s="20">
        <v>20878</v>
      </c>
      <c r="D33" s="22" t="s">
        <v>191</v>
      </c>
      <c r="E33" s="21" t="s">
        <v>192</v>
      </c>
      <c r="F33" s="14" t="s">
        <v>14</v>
      </c>
      <c r="G33" s="17">
        <f>5250</f>
        <v>5250</v>
      </c>
      <c r="H33" s="17">
        <v>0.22</v>
      </c>
      <c r="I33" s="147">
        <f t="shared" si="0"/>
        <v>1155</v>
      </c>
    </row>
    <row r="34" customHeight="1" spans="1:9">
      <c r="A34" s="19"/>
      <c r="B34" s="20"/>
      <c r="C34" s="20"/>
      <c r="D34" s="22"/>
      <c r="E34" s="20"/>
      <c r="F34" s="16" t="s">
        <v>15</v>
      </c>
      <c r="G34" s="17">
        <f>5250</f>
        <v>5250</v>
      </c>
      <c r="H34" s="17">
        <v>0.08</v>
      </c>
      <c r="I34" s="147">
        <f t="shared" si="0"/>
        <v>420</v>
      </c>
    </row>
    <row r="35" customHeight="1" spans="1:9">
      <c r="A35" s="19"/>
      <c r="B35" s="20"/>
      <c r="C35" s="20"/>
      <c r="D35" s="22"/>
      <c r="E35" s="20"/>
      <c r="F35" s="16" t="s">
        <v>193</v>
      </c>
      <c r="G35" s="17">
        <f>5250</f>
        <v>5250</v>
      </c>
      <c r="H35" s="17">
        <v>0.19</v>
      </c>
      <c r="I35" s="147">
        <f t="shared" si="0"/>
        <v>997.5</v>
      </c>
    </row>
    <row r="36" customHeight="1" spans="1:9">
      <c r="A36" s="19"/>
      <c r="B36" s="20"/>
      <c r="C36" s="20"/>
      <c r="D36" s="22"/>
      <c r="E36" s="20"/>
      <c r="F36" s="14" t="s">
        <v>28</v>
      </c>
      <c r="G36" s="17">
        <f>5250*4</f>
        <v>21000</v>
      </c>
      <c r="H36" s="17">
        <v>0.04</v>
      </c>
      <c r="I36" s="147">
        <f t="shared" si="0"/>
        <v>840</v>
      </c>
    </row>
    <row r="37" customHeight="1" spans="1:9">
      <c r="A37" s="19">
        <v>45727</v>
      </c>
      <c r="B37" s="20" t="s">
        <v>10</v>
      </c>
      <c r="C37" s="20" t="s">
        <v>194</v>
      </c>
      <c r="D37" s="22" t="s">
        <v>195</v>
      </c>
      <c r="E37" s="21" t="s">
        <v>196</v>
      </c>
      <c r="F37" s="14" t="s">
        <v>14</v>
      </c>
      <c r="G37" s="17">
        <v>25200</v>
      </c>
      <c r="H37" s="17">
        <v>0.22</v>
      </c>
      <c r="I37" s="147">
        <f t="shared" si="0"/>
        <v>5544</v>
      </c>
    </row>
    <row r="38" customHeight="1" spans="1:9">
      <c r="A38" s="19"/>
      <c r="B38" s="20"/>
      <c r="C38" s="20"/>
      <c r="D38" s="22"/>
      <c r="E38" s="20"/>
      <c r="F38" s="16" t="s">
        <v>15</v>
      </c>
      <c r="G38" s="17">
        <v>25200</v>
      </c>
      <c r="H38" s="17">
        <v>0.08</v>
      </c>
      <c r="I38" s="147">
        <f t="shared" si="0"/>
        <v>2016</v>
      </c>
    </row>
    <row r="39" customHeight="1" spans="1:9">
      <c r="A39" s="19"/>
      <c r="B39" s="20"/>
      <c r="C39" s="20"/>
      <c r="D39" s="22"/>
      <c r="E39" s="20"/>
      <c r="F39" s="16" t="s">
        <v>25</v>
      </c>
      <c r="G39" s="17">
        <f>25200*5</f>
        <v>126000</v>
      </c>
      <c r="H39" s="17">
        <v>0.04</v>
      </c>
      <c r="I39" s="147">
        <f t="shared" si="0"/>
        <v>5040</v>
      </c>
    </row>
    <row r="40" customHeight="1" spans="1:9">
      <c r="A40" s="19"/>
      <c r="B40" s="20"/>
      <c r="C40" s="20"/>
      <c r="D40" s="22"/>
      <c r="E40" s="20"/>
      <c r="F40" s="14" t="s">
        <v>17</v>
      </c>
      <c r="G40" s="17">
        <v>23882</v>
      </c>
      <c r="H40" s="17">
        <v>0.12</v>
      </c>
      <c r="I40" s="147">
        <f t="shared" si="0"/>
        <v>2865.84</v>
      </c>
    </row>
    <row r="41" customHeight="1" spans="1:9">
      <c r="A41" s="19">
        <v>45728</v>
      </c>
      <c r="B41" s="20" t="s">
        <v>10</v>
      </c>
      <c r="C41" s="20" t="s">
        <v>197</v>
      </c>
      <c r="D41" s="22" t="s">
        <v>198</v>
      </c>
      <c r="E41" s="21" t="s">
        <v>199</v>
      </c>
      <c r="F41" s="14" t="s">
        <v>14</v>
      </c>
      <c r="G41" s="17">
        <f>33596-600</f>
        <v>32996</v>
      </c>
      <c r="H41" s="17">
        <v>0.22</v>
      </c>
      <c r="I41" s="147">
        <f t="shared" si="0"/>
        <v>7259.12</v>
      </c>
    </row>
    <row r="42" customHeight="1" spans="1:9">
      <c r="A42" s="19"/>
      <c r="B42" s="20"/>
      <c r="C42" s="20"/>
      <c r="D42" s="22"/>
      <c r="E42" s="20"/>
      <c r="F42" s="16" t="s">
        <v>15</v>
      </c>
      <c r="G42" s="17">
        <f>33596-600</f>
        <v>32996</v>
      </c>
      <c r="H42" s="17">
        <v>0.08</v>
      </c>
      <c r="I42" s="147">
        <f t="shared" si="0"/>
        <v>2639.68</v>
      </c>
    </row>
    <row r="43" customHeight="1" spans="1:9">
      <c r="A43" s="19"/>
      <c r="B43" s="20"/>
      <c r="C43" s="20"/>
      <c r="D43" s="22"/>
      <c r="E43" s="20"/>
      <c r="F43" s="16" t="s">
        <v>25</v>
      </c>
      <c r="G43" s="16">
        <f>33596*5</f>
        <v>167980</v>
      </c>
      <c r="H43" s="17">
        <v>0.04</v>
      </c>
      <c r="I43" s="147">
        <f t="shared" si="0"/>
        <v>6719.2</v>
      </c>
    </row>
    <row r="44" customHeight="1" spans="1:9">
      <c r="A44" s="19"/>
      <c r="B44" s="20"/>
      <c r="C44" s="20"/>
      <c r="D44" s="22"/>
      <c r="E44" s="20"/>
      <c r="F44" s="14" t="s">
        <v>17</v>
      </c>
      <c r="G44" s="17">
        <f>33596-600</f>
        <v>32996</v>
      </c>
      <c r="H44" s="17">
        <v>0.12</v>
      </c>
      <c r="I44" s="147">
        <f t="shared" si="0"/>
        <v>3959.52</v>
      </c>
    </row>
    <row r="45" customHeight="1" spans="1:9">
      <c r="I45" s="95">
        <f>SUM(I3:I44)</f>
        <v>83215.34</v>
      </c>
    </row>
    <row r="46" customHeight="1" spans="1:9">
      <c r="I46" s="95"/>
    </row>
  </sheetData>
  <autoFilter xmlns:etc="http://www.wps.cn/officeDocument/2017/etCustomData" ref="A1:I45" etc:filterBottomFollowUsedRange="0">
    <extLst/>
  </autoFilter>
  <mergeCells count="41">
    <mergeCell ref="A1:I1"/>
    <mergeCell ref="A3:A6"/>
    <mergeCell ref="A7:A10"/>
    <mergeCell ref="A11:A22"/>
    <mergeCell ref="A23:A28"/>
    <mergeCell ref="A29:A32"/>
    <mergeCell ref="A33:A36"/>
    <mergeCell ref="A37:A40"/>
    <mergeCell ref="A41:A44"/>
    <mergeCell ref="B3:B6"/>
    <mergeCell ref="B7:B10"/>
    <mergeCell ref="B11:B22"/>
    <mergeCell ref="B23:B28"/>
    <mergeCell ref="B29:B32"/>
    <mergeCell ref="B33:B36"/>
    <mergeCell ref="B37:B40"/>
    <mergeCell ref="B41:B44"/>
    <mergeCell ref="C3:C6"/>
    <mergeCell ref="C7:C10"/>
    <mergeCell ref="C11:C22"/>
    <mergeCell ref="C23:C28"/>
    <mergeCell ref="C29:C32"/>
    <mergeCell ref="C33:C36"/>
    <mergeCell ref="C37:C40"/>
    <mergeCell ref="C41:C44"/>
    <mergeCell ref="D3:D6"/>
    <mergeCell ref="D7:D10"/>
    <mergeCell ref="D11:D22"/>
    <mergeCell ref="D23:D28"/>
    <mergeCell ref="D29:D32"/>
    <mergeCell ref="D33:D36"/>
    <mergeCell ref="D37:D40"/>
    <mergeCell ref="D41:D44"/>
    <mergeCell ref="E3:E6"/>
    <mergeCell ref="E7:E10"/>
    <mergeCell ref="E11:E22"/>
    <mergeCell ref="E23:E28"/>
    <mergeCell ref="E29:E32"/>
    <mergeCell ref="E33:E36"/>
    <mergeCell ref="E37:E40"/>
    <mergeCell ref="E41:E4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topLeftCell="A47" workbookViewId="0">
      <selection activeCell="A65" sqref="A65:J73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0" width="9.54545454545454" style="1"/>
    <col min="11" max="11" width="10.6363636363636" style="1"/>
    <col min="12" max="13" width="9.54545454545454" style="1"/>
    <col min="14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hidden="1" customHeight="1" spans="1:12">
      <c r="A3" s="33">
        <v>45731</v>
      </c>
      <c r="B3" s="98" t="s">
        <v>10</v>
      </c>
      <c r="C3" s="98" t="s">
        <v>200</v>
      </c>
      <c r="D3" s="100" t="s">
        <v>201</v>
      </c>
      <c r="E3" s="98" t="s">
        <v>202</v>
      </c>
      <c r="F3" s="14" t="s">
        <v>203</v>
      </c>
      <c r="G3" s="17">
        <f>(2876+7124+2876+7124)*1.05*5</f>
        <v>105000</v>
      </c>
      <c r="H3" s="17">
        <v>0.04</v>
      </c>
      <c r="I3" s="147">
        <f t="shared" ref="I3:I57" si="0">G3*H3</f>
        <v>4200</v>
      </c>
    </row>
    <row r="4" hidden="1" customHeight="1" spans="1:12">
      <c r="A4" s="43"/>
      <c r="B4" s="111"/>
      <c r="C4" s="111"/>
      <c r="D4" s="113"/>
      <c r="E4" s="111"/>
      <c r="F4" s="14" t="s">
        <v>204</v>
      </c>
      <c r="G4" s="17">
        <f>美金已付!G50*1.05</f>
        <v>22050</v>
      </c>
      <c r="H4" s="17">
        <v>0.08</v>
      </c>
      <c r="I4" s="147">
        <f t="shared" si="0"/>
        <v>1764</v>
      </c>
    </row>
    <row r="5" customHeight="1" spans="1:12">
      <c r="A5" s="19">
        <v>45733</v>
      </c>
      <c r="B5" s="21" t="s">
        <v>10</v>
      </c>
      <c r="C5" s="21" t="s">
        <v>205</v>
      </c>
      <c r="D5" s="22" t="s">
        <v>206</v>
      </c>
      <c r="E5" s="21" t="s">
        <v>207</v>
      </c>
      <c r="F5" s="14" t="s">
        <v>203</v>
      </c>
      <c r="G5" s="17">
        <v>131250</v>
      </c>
      <c r="H5" s="17">
        <v>0.04</v>
      </c>
      <c r="I5" s="148">
        <f t="shared" si="0"/>
        <v>5250</v>
      </c>
    </row>
    <row r="6" customHeight="1" spans="1:12">
      <c r="A6" s="19"/>
      <c r="B6" s="21"/>
      <c r="C6" s="21"/>
      <c r="D6" s="22"/>
      <c r="E6" s="21"/>
      <c r="F6" s="14" t="s">
        <v>208</v>
      </c>
      <c r="G6" s="17">
        <v>15469</v>
      </c>
      <c r="H6" s="17">
        <v>0.22</v>
      </c>
      <c r="I6" s="148">
        <f t="shared" si="0"/>
        <v>3403.18</v>
      </c>
    </row>
    <row r="7" hidden="1" customHeight="1" spans="1:12">
      <c r="A7" s="19"/>
      <c r="B7" s="21"/>
      <c r="C7" s="21"/>
      <c r="D7" s="22"/>
      <c r="E7" s="21"/>
      <c r="F7" s="16" t="s">
        <v>15</v>
      </c>
      <c r="G7" s="17">
        <v>15469</v>
      </c>
      <c r="H7" s="17">
        <v>0.08</v>
      </c>
      <c r="I7" s="148">
        <f t="shared" si="0"/>
        <v>1237.52</v>
      </c>
    </row>
    <row r="8" customHeight="1" spans="1:12">
      <c r="A8" s="19"/>
      <c r="B8" s="21"/>
      <c r="C8" s="21"/>
      <c r="D8" s="22"/>
      <c r="E8" s="21"/>
      <c r="F8" s="14" t="s">
        <v>204</v>
      </c>
      <c r="G8" s="17">
        <v>26250</v>
      </c>
      <c r="H8" s="17">
        <v>0.08</v>
      </c>
      <c r="I8" s="148">
        <f t="shared" si="0"/>
        <v>2100</v>
      </c>
    </row>
    <row r="9" customHeight="1" spans="1:12">
      <c r="A9" s="33">
        <v>45739</v>
      </c>
      <c r="B9" s="33" t="s">
        <v>10</v>
      </c>
      <c r="C9" s="98" t="s">
        <v>209</v>
      </c>
      <c r="D9" s="149" t="s">
        <v>210</v>
      </c>
      <c r="E9" s="98" t="s">
        <v>211</v>
      </c>
      <c r="F9" s="14" t="s">
        <v>203</v>
      </c>
      <c r="G9" s="17">
        <v>159930</v>
      </c>
      <c r="H9" s="17">
        <v>0.04</v>
      </c>
      <c r="I9" s="148">
        <f t="shared" si="0"/>
        <v>6397.2</v>
      </c>
    </row>
    <row r="10" hidden="1" customHeight="1" spans="1:12">
      <c r="A10" s="39"/>
      <c r="B10" s="39"/>
      <c r="C10" s="39"/>
      <c r="D10" s="150"/>
      <c r="E10" s="39"/>
      <c r="F10" s="14" t="s">
        <v>208</v>
      </c>
      <c r="G10" s="17">
        <v>5250</v>
      </c>
      <c r="H10" s="17">
        <v>0.22</v>
      </c>
      <c r="I10" s="148">
        <f t="shared" si="0"/>
        <v>1155</v>
      </c>
    </row>
    <row r="11" hidden="1" customHeight="1" spans="1:12">
      <c r="A11" s="39"/>
      <c r="B11" s="39"/>
      <c r="C11" s="39"/>
      <c r="D11" s="150"/>
      <c r="E11" s="39"/>
      <c r="F11" s="16" t="s">
        <v>15</v>
      </c>
      <c r="G11" s="17">
        <v>5250</v>
      </c>
      <c r="H11" s="17">
        <v>0.08</v>
      </c>
      <c r="I11" s="148">
        <f t="shared" si="0"/>
        <v>420</v>
      </c>
    </row>
    <row r="12" customHeight="1" spans="1:12">
      <c r="A12" s="43"/>
      <c r="B12" s="43"/>
      <c r="C12" s="43"/>
      <c r="D12" s="151"/>
      <c r="E12" s="43"/>
      <c r="F12" s="14" t="s">
        <v>204</v>
      </c>
      <c r="G12" s="17">
        <v>31986</v>
      </c>
      <c r="H12" s="17">
        <v>0.08</v>
      </c>
      <c r="I12" s="148">
        <f t="shared" si="0"/>
        <v>2558.88</v>
      </c>
      <c r="L12" s="152"/>
    </row>
    <row r="13" ht="22" customHeight="1" spans="1:12">
      <c r="A13" s="33">
        <v>45740</v>
      </c>
      <c r="B13" s="33" t="s">
        <v>10</v>
      </c>
      <c r="C13" s="98" t="s">
        <v>212</v>
      </c>
      <c r="D13" s="149" t="s">
        <v>213</v>
      </c>
      <c r="E13" s="98" t="s">
        <v>214</v>
      </c>
      <c r="F13" s="14" t="s">
        <v>203</v>
      </c>
      <c r="G13" s="17">
        <v>130300</v>
      </c>
      <c r="H13" s="17">
        <v>0.04</v>
      </c>
      <c r="I13" s="148">
        <f t="shared" si="0"/>
        <v>5212</v>
      </c>
    </row>
    <row r="14" ht="22" customHeight="1" spans="1:12">
      <c r="A14" s="43"/>
      <c r="B14" s="43"/>
      <c r="C14" s="43"/>
      <c r="D14" s="151"/>
      <c r="E14" s="43"/>
      <c r="F14" s="14" t="s">
        <v>204</v>
      </c>
      <c r="G14" s="102">
        <v>26060</v>
      </c>
      <c r="H14" s="17">
        <v>0.08</v>
      </c>
      <c r="I14" s="148">
        <f t="shared" si="0"/>
        <v>2084.8</v>
      </c>
    </row>
    <row r="15" customHeight="1" spans="1:12">
      <c r="A15" s="19">
        <v>45741</v>
      </c>
      <c r="B15" s="20" t="s">
        <v>10</v>
      </c>
      <c r="C15" s="20">
        <v>22927</v>
      </c>
      <c r="D15" s="22" t="s">
        <v>215</v>
      </c>
      <c r="E15" s="21" t="s">
        <v>216</v>
      </c>
      <c r="F15" s="14" t="s">
        <v>14</v>
      </c>
      <c r="G15" s="17">
        <v>3720</v>
      </c>
      <c r="H15" s="17">
        <v>0.22</v>
      </c>
      <c r="I15" s="148">
        <f t="shared" si="0"/>
        <v>818.4</v>
      </c>
    </row>
    <row r="16" customHeight="1" spans="1:12">
      <c r="A16" s="19"/>
      <c r="B16" s="20"/>
      <c r="C16" s="20"/>
      <c r="D16" s="22"/>
      <c r="E16" s="20"/>
      <c r="F16" s="16" t="s">
        <v>15</v>
      </c>
      <c r="G16" s="17">
        <v>3720</v>
      </c>
      <c r="H16" s="17">
        <v>0.08</v>
      </c>
      <c r="I16" s="148">
        <f t="shared" si="0"/>
        <v>297.6</v>
      </c>
    </row>
    <row r="17" customHeight="1" spans="1:9">
      <c r="A17" s="19"/>
      <c r="B17" s="20"/>
      <c r="C17" s="20"/>
      <c r="D17" s="22"/>
      <c r="E17" s="20"/>
      <c r="F17" s="16" t="s">
        <v>217</v>
      </c>
      <c r="G17" s="17">
        <v>3720</v>
      </c>
      <c r="H17" s="17">
        <v>0.04</v>
      </c>
      <c r="I17" s="148">
        <f t="shared" si="0"/>
        <v>148.8</v>
      </c>
    </row>
    <row r="18" customHeight="1" spans="1:9">
      <c r="A18" s="19"/>
      <c r="B18" s="20"/>
      <c r="C18" s="20"/>
      <c r="D18" s="22"/>
      <c r="E18" s="20"/>
      <c r="F18" s="14" t="s">
        <v>17</v>
      </c>
      <c r="G18" s="17">
        <v>3720</v>
      </c>
      <c r="H18" s="17">
        <v>0.12</v>
      </c>
      <c r="I18" s="17">
        <f t="shared" si="0"/>
        <v>446.4</v>
      </c>
    </row>
    <row r="19" customHeight="1" spans="1:9">
      <c r="A19" s="19">
        <v>45746</v>
      </c>
      <c r="B19" s="20" t="s">
        <v>10</v>
      </c>
      <c r="C19" s="20">
        <v>23866</v>
      </c>
      <c r="D19" s="22" t="s">
        <v>218</v>
      </c>
      <c r="E19" s="21" t="s">
        <v>219</v>
      </c>
      <c r="F19" s="14" t="s">
        <v>14</v>
      </c>
      <c r="G19" s="17">
        <v>5250</v>
      </c>
      <c r="H19" s="17">
        <v>0.22</v>
      </c>
      <c r="I19" s="148">
        <f t="shared" si="0"/>
        <v>1155</v>
      </c>
    </row>
    <row r="20" hidden="1" customHeight="1" spans="1:9">
      <c r="A20" s="19"/>
      <c r="B20" s="20"/>
      <c r="C20" s="20"/>
      <c r="D20" s="22"/>
      <c r="E20" s="20"/>
      <c r="F20" s="16" t="s">
        <v>15</v>
      </c>
      <c r="G20" s="17">
        <v>5250</v>
      </c>
      <c r="H20" s="17">
        <v>0.08</v>
      </c>
      <c r="I20" s="148">
        <f t="shared" si="0"/>
        <v>420</v>
      </c>
    </row>
    <row r="21" customHeight="1" spans="1:9">
      <c r="A21" s="19"/>
      <c r="B21" s="20"/>
      <c r="C21" s="20"/>
      <c r="D21" s="22"/>
      <c r="E21" s="20"/>
      <c r="F21" s="16" t="s">
        <v>63</v>
      </c>
      <c r="G21" s="17">
        <v>26250</v>
      </c>
      <c r="H21" s="17">
        <v>0.04</v>
      </c>
      <c r="I21" s="148">
        <f t="shared" si="0"/>
        <v>1050</v>
      </c>
    </row>
    <row r="22" customHeight="1" spans="1:9">
      <c r="A22" s="19"/>
      <c r="B22" s="20"/>
      <c r="C22" s="20"/>
      <c r="D22" s="22"/>
      <c r="E22" s="20"/>
      <c r="F22" s="14" t="s">
        <v>57</v>
      </c>
      <c r="G22" s="17">
        <v>5250</v>
      </c>
      <c r="H22" s="17">
        <v>0.26</v>
      </c>
      <c r="I22" s="148">
        <f t="shared" si="0"/>
        <v>1365</v>
      </c>
    </row>
    <row r="23" customHeight="1" spans="1:9">
      <c r="A23" s="19">
        <v>45748</v>
      </c>
      <c r="B23" s="20" t="s">
        <v>10</v>
      </c>
      <c r="C23" s="20" t="s">
        <v>220</v>
      </c>
      <c r="D23" s="22" t="s">
        <v>221</v>
      </c>
      <c r="E23" s="21" t="s">
        <v>222</v>
      </c>
      <c r="F23" s="14" t="s">
        <v>14</v>
      </c>
      <c r="G23" s="17">
        <v>39900</v>
      </c>
      <c r="H23" s="17">
        <v>0.22</v>
      </c>
      <c r="I23" s="148">
        <f t="shared" si="0"/>
        <v>8778</v>
      </c>
    </row>
    <row r="24" customHeight="1" spans="1:9">
      <c r="A24" s="19"/>
      <c r="B24" s="20"/>
      <c r="C24" s="20"/>
      <c r="D24" s="22"/>
      <c r="E24" s="20"/>
      <c r="F24" s="16" t="s">
        <v>15</v>
      </c>
      <c r="G24" s="17">
        <v>39900</v>
      </c>
      <c r="H24" s="17">
        <v>0.08</v>
      </c>
      <c r="I24" s="148">
        <f t="shared" si="0"/>
        <v>3192</v>
      </c>
    </row>
    <row r="25" customHeight="1" spans="1:9">
      <c r="A25" s="19"/>
      <c r="B25" s="20"/>
      <c r="C25" s="20"/>
      <c r="D25" s="22"/>
      <c r="E25" s="20"/>
      <c r="F25" s="16" t="s">
        <v>25</v>
      </c>
      <c r="G25" s="17">
        <v>199500</v>
      </c>
      <c r="H25" s="17">
        <v>0.04</v>
      </c>
      <c r="I25" s="148">
        <f t="shared" si="0"/>
        <v>7980</v>
      </c>
    </row>
    <row r="26" customHeight="1" spans="1:9">
      <c r="A26" s="19"/>
      <c r="B26" s="20"/>
      <c r="C26" s="20"/>
      <c r="D26" s="22"/>
      <c r="E26" s="20"/>
      <c r="F26" s="14" t="s">
        <v>17</v>
      </c>
      <c r="G26" s="17">
        <v>36108</v>
      </c>
      <c r="H26" s="17">
        <v>0.12</v>
      </c>
      <c r="I26" s="148">
        <f t="shared" si="0"/>
        <v>4332.96</v>
      </c>
    </row>
    <row r="27" customHeight="1" spans="1:9">
      <c r="A27" s="19">
        <v>45750</v>
      </c>
      <c r="B27" s="20" t="s">
        <v>10</v>
      </c>
      <c r="C27" s="20" t="s">
        <v>223</v>
      </c>
      <c r="D27" s="15" t="s">
        <v>224</v>
      </c>
      <c r="E27" s="14" t="s">
        <v>225</v>
      </c>
      <c r="F27" s="14" t="s">
        <v>14</v>
      </c>
      <c r="G27" s="17">
        <v>21000</v>
      </c>
      <c r="H27" s="17">
        <v>0.22</v>
      </c>
      <c r="I27" s="148">
        <f t="shared" si="0"/>
        <v>4620</v>
      </c>
    </row>
    <row r="28" customHeight="1" spans="1:9">
      <c r="A28" s="19"/>
      <c r="B28" s="20"/>
      <c r="C28" s="20"/>
      <c r="D28" s="15"/>
      <c r="E28" s="14"/>
      <c r="F28" s="16" t="s">
        <v>15</v>
      </c>
      <c r="G28" s="17">
        <v>21000</v>
      </c>
      <c r="H28" s="17">
        <v>0.08</v>
      </c>
      <c r="I28" s="148">
        <f t="shared" si="0"/>
        <v>1680</v>
      </c>
    </row>
    <row r="29" customHeight="1" spans="1:9">
      <c r="A29" s="19"/>
      <c r="B29" s="20"/>
      <c r="C29" s="20"/>
      <c r="D29" s="15"/>
      <c r="E29" s="14"/>
      <c r="F29" s="16" t="s">
        <v>25</v>
      </c>
      <c r="G29" s="17">
        <v>105000</v>
      </c>
      <c r="H29" s="17">
        <v>0.04</v>
      </c>
      <c r="I29" s="148">
        <f t="shared" si="0"/>
        <v>4200</v>
      </c>
    </row>
    <row r="30" customHeight="1" spans="1:9">
      <c r="A30" s="19"/>
      <c r="B30" s="20"/>
      <c r="C30" s="20"/>
      <c r="D30" s="15"/>
      <c r="E30" s="14"/>
      <c r="F30" s="14" t="s">
        <v>17</v>
      </c>
      <c r="G30" s="17">
        <v>21000</v>
      </c>
      <c r="H30" s="17">
        <v>0.12</v>
      </c>
      <c r="I30" s="148">
        <f t="shared" si="0"/>
        <v>2520</v>
      </c>
    </row>
    <row r="31" customHeight="1" spans="1:9">
      <c r="A31" s="19">
        <v>45753</v>
      </c>
      <c r="B31" s="20" t="s">
        <v>10</v>
      </c>
      <c r="C31" s="20">
        <v>77706</v>
      </c>
      <c r="D31" s="15" t="s">
        <v>226</v>
      </c>
      <c r="E31" s="14" t="s">
        <v>227</v>
      </c>
      <c r="F31" s="14" t="s">
        <v>14</v>
      </c>
      <c r="G31" s="17">
        <v>3150</v>
      </c>
      <c r="H31" s="17">
        <v>0.22</v>
      </c>
      <c r="I31" s="148">
        <f t="shared" si="0"/>
        <v>693</v>
      </c>
    </row>
    <row r="32" customHeight="1" spans="1:9">
      <c r="A32" s="19"/>
      <c r="B32" s="20"/>
      <c r="C32" s="20"/>
      <c r="D32" s="15"/>
      <c r="E32" s="14"/>
      <c r="F32" s="16" t="s">
        <v>15</v>
      </c>
      <c r="G32" s="17">
        <v>3150</v>
      </c>
      <c r="H32" s="17">
        <v>0.08</v>
      </c>
      <c r="I32" s="148">
        <f t="shared" si="0"/>
        <v>252</v>
      </c>
    </row>
    <row r="33" customHeight="1" spans="1:9">
      <c r="A33" s="19"/>
      <c r="B33" s="20"/>
      <c r="C33" s="20"/>
      <c r="D33" s="15"/>
      <c r="E33" s="14"/>
      <c r="F33" s="16" t="s">
        <v>25</v>
      </c>
      <c r="G33" s="17">
        <f>3150*5</f>
        <v>15750</v>
      </c>
      <c r="H33" s="17">
        <v>0.04</v>
      </c>
      <c r="I33" s="148">
        <f t="shared" si="0"/>
        <v>630</v>
      </c>
    </row>
    <row r="34" customHeight="1" spans="1:9">
      <c r="A34" s="19"/>
      <c r="B34" s="20"/>
      <c r="C34" s="20"/>
      <c r="D34" s="15"/>
      <c r="E34" s="14"/>
      <c r="F34" s="14" t="s">
        <v>17</v>
      </c>
      <c r="G34" s="17">
        <v>3150</v>
      </c>
      <c r="H34" s="17">
        <v>0.12</v>
      </c>
      <c r="I34" s="148">
        <f t="shared" si="0"/>
        <v>378</v>
      </c>
    </row>
    <row r="35" customHeight="1" spans="1:9">
      <c r="A35" s="33">
        <v>45754</v>
      </c>
      <c r="B35" s="33" t="s">
        <v>10</v>
      </c>
      <c r="C35" s="98" t="s">
        <v>228</v>
      </c>
      <c r="D35" s="149" t="s">
        <v>229</v>
      </c>
      <c r="E35" s="98" t="s">
        <v>230</v>
      </c>
      <c r="F35" s="14" t="s">
        <v>203</v>
      </c>
      <c r="G35" s="16">
        <v>375910</v>
      </c>
      <c r="H35" s="17">
        <v>0.04</v>
      </c>
      <c r="I35" s="153">
        <f t="shared" si="0"/>
        <v>15036.4</v>
      </c>
    </row>
    <row r="36" customHeight="1" spans="1:9">
      <c r="A36" s="39"/>
      <c r="B36" s="39"/>
      <c r="C36" s="39"/>
      <c r="D36" s="150"/>
      <c r="E36" s="39"/>
      <c r="F36" s="14" t="s">
        <v>208</v>
      </c>
      <c r="G36" s="102">
        <v>64682</v>
      </c>
      <c r="H36" s="17">
        <v>0.22</v>
      </c>
      <c r="I36" s="153">
        <f t="shared" si="0"/>
        <v>14230.04</v>
      </c>
    </row>
    <row r="37" customHeight="1" spans="1:9">
      <c r="A37" s="39"/>
      <c r="B37" s="39"/>
      <c r="C37" s="39"/>
      <c r="D37" s="150"/>
      <c r="E37" s="39"/>
      <c r="F37" s="16" t="s">
        <v>15</v>
      </c>
      <c r="G37" s="102">
        <v>64682</v>
      </c>
      <c r="H37" s="17">
        <v>0.08</v>
      </c>
      <c r="I37" s="153">
        <f t="shared" si="0"/>
        <v>5174.56</v>
      </c>
    </row>
    <row r="38" customHeight="1" spans="1:9">
      <c r="A38" s="43"/>
      <c r="B38" s="43"/>
      <c r="C38" s="43"/>
      <c r="D38" s="151"/>
      <c r="E38" s="43"/>
      <c r="F38" s="14" t="s">
        <v>204</v>
      </c>
      <c r="G38" s="102">
        <v>75182</v>
      </c>
      <c r="H38" s="17">
        <v>0.08</v>
      </c>
      <c r="I38" s="153">
        <f t="shared" si="0"/>
        <v>6014.56</v>
      </c>
    </row>
    <row r="39" customHeight="1" spans="1:9">
      <c r="A39" s="33">
        <v>45754</v>
      </c>
      <c r="B39" s="101" t="s">
        <v>10</v>
      </c>
      <c r="C39" s="101" t="s">
        <v>231</v>
      </c>
      <c r="D39" s="154" t="s">
        <v>232</v>
      </c>
      <c r="E39" s="101" t="s">
        <v>233</v>
      </c>
      <c r="F39" s="14" t="s">
        <v>208</v>
      </c>
      <c r="G39" s="17">
        <v>56174</v>
      </c>
      <c r="H39" s="17">
        <v>0.22</v>
      </c>
      <c r="I39" s="148">
        <f t="shared" si="0"/>
        <v>12358.28</v>
      </c>
    </row>
    <row r="40" customHeight="1" spans="1:9">
      <c r="A40" s="39"/>
      <c r="B40" s="107"/>
      <c r="C40" s="107"/>
      <c r="D40" s="110"/>
      <c r="E40" s="107"/>
      <c r="F40" s="16" t="s">
        <v>15</v>
      </c>
      <c r="G40" s="17">
        <v>56174</v>
      </c>
      <c r="H40" s="17">
        <v>0.08</v>
      </c>
      <c r="I40" s="148">
        <f t="shared" si="0"/>
        <v>4493.92</v>
      </c>
    </row>
    <row r="41" customHeight="1" spans="1:9">
      <c r="A41" s="39"/>
      <c r="B41" s="107"/>
      <c r="C41" s="107"/>
      <c r="D41" s="110"/>
      <c r="E41" s="107"/>
      <c r="F41" s="14" t="s">
        <v>234</v>
      </c>
      <c r="G41" s="17">
        <v>136179</v>
      </c>
      <c r="H41" s="17">
        <v>0.04</v>
      </c>
      <c r="I41" s="148">
        <f t="shared" si="0"/>
        <v>5447.16</v>
      </c>
    </row>
    <row r="42" customHeight="1" spans="1:9">
      <c r="A42" s="39"/>
      <c r="B42" s="107"/>
      <c r="C42" s="107"/>
      <c r="D42" s="110"/>
      <c r="E42" s="107"/>
      <c r="F42" s="14" t="s">
        <v>235</v>
      </c>
      <c r="G42" s="17">
        <v>112348</v>
      </c>
      <c r="H42" s="17">
        <v>0.04</v>
      </c>
      <c r="I42" s="148">
        <f t="shared" si="0"/>
        <v>4493.92</v>
      </c>
    </row>
    <row r="43" customHeight="1" spans="1:9">
      <c r="A43" s="43"/>
      <c r="B43" s="114"/>
      <c r="C43" s="114"/>
      <c r="D43" s="155"/>
      <c r="E43" s="114"/>
      <c r="F43" s="14" t="s">
        <v>204</v>
      </c>
      <c r="G43" s="17">
        <v>56174</v>
      </c>
      <c r="H43" s="17">
        <v>0.08</v>
      </c>
      <c r="I43" s="148">
        <f t="shared" si="0"/>
        <v>4493.92</v>
      </c>
    </row>
    <row r="44" customHeight="1" spans="1:9">
      <c r="A44" s="19">
        <v>45760</v>
      </c>
      <c r="B44" s="20" t="s">
        <v>10</v>
      </c>
      <c r="C44" s="20" t="s">
        <v>236</v>
      </c>
      <c r="D44" s="22" t="s">
        <v>237</v>
      </c>
      <c r="E44" s="21" t="s">
        <v>238</v>
      </c>
      <c r="F44" s="14" t="s">
        <v>208</v>
      </c>
      <c r="G44" s="17">
        <v>47252</v>
      </c>
      <c r="H44" s="17">
        <v>0.22</v>
      </c>
      <c r="I44" s="148">
        <f t="shared" si="0"/>
        <v>10395.44</v>
      </c>
    </row>
    <row r="45" customHeight="1" spans="1:9">
      <c r="A45" s="19"/>
      <c r="B45" s="20"/>
      <c r="C45" s="20"/>
      <c r="D45" s="22"/>
      <c r="E45" s="20"/>
      <c r="F45" s="16" t="s">
        <v>15</v>
      </c>
      <c r="G45" s="17">
        <v>47252</v>
      </c>
      <c r="H45" s="17">
        <v>0.08</v>
      </c>
      <c r="I45" s="148">
        <f t="shared" si="0"/>
        <v>3780.16</v>
      </c>
    </row>
    <row r="46" customHeight="1" spans="1:9">
      <c r="A46" s="19"/>
      <c r="B46" s="20"/>
      <c r="C46" s="20"/>
      <c r="D46" s="22"/>
      <c r="E46" s="20"/>
      <c r="F46" s="16" t="s">
        <v>239</v>
      </c>
      <c r="G46" s="17">
        <v>126005</v>
      </c>
      <c r="H46" s="17">
        <v>0.04</v>
      </c>
      <c r="I46" s="148">
        <f t="shared" si="0"/>
        <v>5040.2</v>
      </c>
    </row>
    <row r="47" customHeight="1" spans="1:9">
      <c r="A47" s="19"/>
      <c r="B47" s="20"/>
      <c r="C47" s="20"/>
      <c r="D47" s="22"/>
      <c r="E47" s="20"/>
      <c r="F47" s="14" t="s">
        <v>57</v>
      </c>
      <c r="G47" s="17">
        <v>47252</v>
      </c>
      <c r="H47" s="17">
        <v>0.26</v>
      </c>
      <c r="I47" s="148">
        <f t="shared" si="0"/>
        <v>12285.52</v>
      </c>
    </row>
    <row r="48" customHeight="1" spans="1:9">
      <c r="A48" s="19"/>
      <c r="B48" s="20"/>
      <c r="C48" s="20"/>
      <c r="D48" s="22"/>
      <c r="E48" s="20"/>
      <c r="F48" s="16" t="s">
        <v>240</v>
      </c>
      <c r="G48" s="17">
        <v>110255</v>
      </c>
      <c r="H48" s="17">
        <v>0.04</v>
      </c>
      <c r="I48" s="148">
        <f t="shared" si="0"/>
        <v>4410.2</v>
      </c>
    </row>
    <row r="49" customHeight="1" spans="1:13">
      <c r="A49" s="19">
        <v>45760</v>
      </c>
      <c r="B49" s="20" t="s">
        <v>10</v>
      </c>
      <c r="C49" s="20" t="s">
        <v>241</v>
      </c>
      <c r="D49" s="22" t="s">
        <v>242</v>
      </c>
      <c r="E49" s="21" t="s">
        <v>243</v>
      </c>
      <c r="F49" s="14" t="s">
        <v>14</v>
      </c>
      <c r="G49" s="17">
        <v>68255</v>
      </c>
      <c r="H49" s="17">
        <v>0.22</v>
      </c>
      <c r="I49" s="48">
        <f t="shared" si="0"/>
        <v>15016.1</v>
      </c>
    </row>
    <row r="50" customHeight="1" spans="1:13">
      <c r="A50" s="19"/>
      <c r="B50" s="20"/>
      <c r="C50" s="20"/>
      <c r="D50" s="22"/>
      <c r="E50" s="20"/>
      <c r="F50" s="16" t="s">
        <v>15</v>
      </c>
      <c r="G50" s="17">
        <v>68255</v>
      </c>
      <c r="H50" s="17">
        <v>0.08</v>
      </c>
      <c r="I50" s="148">
        <f t="shared" si="0"/>
        <v>5460.4</v>
      </c>
    </row>
    <row r="51" customHeight="1" spans="1:13">
      <c r="A51" s="19"/>
      <c r="B51" s="20"/>
      <c r="C51" s="20"/>
      <c r="D51" s="22"/>
      <c r="E51" s="20"/>
      <c r="F51" s="16" t="s">
        <v>63</v>
      </c>
      <c r="G51" s="16">
        <v>341275</v>
      </c>
      <c r="H51" s="16">
        <v>0.04</v>
      </c>
      <c r="I51" s="48">
        <f t="shared" si="0"/>
        <v>13651</v>
      </c>
    </row>
    <row r="52" customHeight="1" spans="1:13">
      <c r="A52" s="19"/>
      <c r="B52" s="20"/>
      <c r="C52" s="20"/>
      <c r="D52" s="22"/>
      <c r="E52" s="20"/>
      <c r="F52" s="14" t="s">
        <v>57</v>
      </c>
      <c r="G52" s="17">
        <v>68255</v>
      </c>
      <c r="H52" s="17">
        <v>0.26</v>
      </c>
      <c r="I52" s="48">
        <f t="shared" si="0"/>
        <v>17746.3</v>
      </c>
    </row>
    <row r="53" ht="42" spans="1:13">
      <c r="A53" s="19">
        <v>45761</v>
      </c>
      <c r="B53" s="20" t="s">
        <v>10</v>
      </c>
      <c r="C53" s="20" t="s">
        <v>244</v>
      </c>
      <c r="D53" s="22" t="s">
        <v>245</v>
      </c>
      <c r="E53" s="21" t="s">
        <v>246</v>
      </c>
      <c r="F53" s="14" t="s">
        <v>17</v>
      </c>
      <c r="G53" s="17">
        <v>2800</v>
      </c>
      <c r="H53" s="17">
        <v>0.12</v>
      </c>
      <c r="I53" s="148">
        <f t="shared" si="0"/>
        <v>336</v>
      </c>
    </row>
    <row r="54" customHeight="1" spans="1:13">
      <c r="A54" s="19">
        <v>45762</v>
      </c>
      <c r="B54" s="20" t="s">
        <v>10</v>
      </c>
      <c r="C54" s="20" t="s">
        <v>247</v>
      </c>
      <c r="D54" s="22" t="s">
        <v>248</v>
      </c>
      <c r="E54" s="21" t="s">
        <v>249</v>
      </c>
      <c r="F54" s="14" t="s">
        <v>14</v>
      </c>
      <c r="G54" s="17">
        <v>30450</v>
      </c>
      <c r="H54" s="16">
        <v>0.21</v>
      </c>
      <c r="I54" s="48">
        <f t="shared" si="0"/>
        <v>6394.5</v>
      </c>
    </row>
    <row r="55" customHeight="1" spans="1:13">
      <c r="A55" s="19"/>
      <c r="B55" s="20"/>
      <c r="C55" s="20"/>
      <c r="D55" s="22"/>
      <c r="E55" s="20"/>
      <c r="F55" s="16" t="s">
        <v>15</v>
      </c>
      <c r="G55" s="17">
        <v>30450</v>
      </c>
      <c r="H55" s="16">
        <v>0.08</v>
      </c>
      <c r="I55" s="48">
        <f t="shared" si="0"/>
        <v>2436</v>
      </c>
    </row>
    <row r="56" customHeight="1" spans="1:13">
      <c r="A56" s="19"/>
      <c r="B56" s="20"/>
      <c r="C56" s="20"/>
      <c r="D56" s="22"/>
      <c r="E56" s="20"/>
      <c r="F56" s="16" t="s">
        <v>25</v>
      </c>
      <c r="G56" s="17">
        <v>152250</v>
      </c>
      <c r="H56" s="16">
        <v>0.04</v>
      </c>
      <c r="I56" s="48">
        <f t="shared" si="0"/>
        <v>6090</v>
      </c>
    </row>
    <row r="57" customHeight="1" spans="1:13">
      <c r="A57" s="19"/>
      <c r="B57" s="20"/>
      <c r="C57" s="20"/>
      <c r="D57" s="22"/>
      <c r="E57" s="20"/>
      <c r="F57" s="14" t="s">
        <v>17</v>
      </c>
      <c r="G57" s="17">
        <v>30450</v>
      </c>
      <c r="H57" s="16">
        <v>0.12</v>
      </c>
      <c r="I57" s="148">
        <f t="shared" si="0"/>
        <v>3654</v>
      </c>
    </row>
    <row r="58" customHeight="1" spans="1:13">
      <c r="I58" s="95">
        <f>SUM(I3:I57)</f>
        <v>259178.32</v>
      </c>
      <c r="J58" s="32">
        <f>138063.85-45671.982-83215.34</f>
        <v>9176.52800000001</v>
      </c>
    </row>
    <row r="59" customHeight="1" spans="1:13">
      <c r="I59" s="32">
        <f>-J58</f>
        <v>-9176.52800000001</v>
      </c>
      <c r="J59" s="1" t="s">
        <v>250</v>
      </c>
      <c r="M59" s="95">
        <f>188201.76-188201.5</f>
        <v>0.260000000009313</v>
      </c>
    </row>
    <row r="60" customHeight="1" spans="1:13">
      <c r="I60" s="156">
        <f>259178.32-9176.52800000001</f>
        <v>250001.792</v>
      </c>
      <c r="J60" s="1" t="s">
        <v>251</v>
      </c>
    </row>
    <row r="61" customHeight="1" spans="1:13">
      <c r="I61" s="95">
        <v>-188201.76</v>
      </c>
    </row>
    <row r="62" customHeight="1" spans="1:13">
      <c r="I62" s="157">
        <f>250001.792-188201.76</f>
        <v>61800.032</v>
      </c>
      <c r="J62" s="1" t="s">
        <v>252</v>
      </c>
    </row>
    <row r="63" customHeight="1" spans="1:13">
      <c r="K63" s="95"/>
    </row>
    <row r="64" customHeight="1" spans="1:13">
      <c r="K64" s="158"/>
    </row>
    <row r="65" ht="28.5" spans="1:10">
      <c r="A65" s="131" t="s">
        <v>132</v>
      </c>
      <c r="B65" s="131"/>
      <c r="C65" s="131"/>
      <c r="D65" s="131"/>
      <c r="E65" s="131"/>
      <c r="F65" s="131"/>
      <c r="G65" s="131"/>
      <c r="H65" s="131"/>
      <c r="I65" s="131"/>
      <c r="J65" s="131"/>
    </row>
    <row r="66" customHeight="1" spans="1:10">
      <c r="A66" s="132" t="s">
        <v>133</v>
      </c>
      <c r="B66" s="132" t="s">
        <v>134</v>
      </c>
      <c r="C66" s="132" t="s">
        <v>135</v>
      </c>
      <c r="D66" s="132" t="s">
        <v>136</v>
      </c>
      <c r="E66" s="132" t="s">
        <v>137</v>
      </c>
      <c r="F66" s="133" t="s">
        <v>138</v>
      </c>
      <c r="G66" s="132" t="s">
        <v>139</v>
      </c>
      <c r="H66" s="132" t="s">
        <v>140</v>
      </c>
      <c r="I66" s="132" t="s">
        <v>141</v>
      </c>
      <c r="J66" s="132" t="s">
        <v>142</v>
      </c>
    </row>
    <row r="67" customHeight="1" spans="1:10">
      <c r="A67" s="132"/>
      <c r="B67" s="132"/>
      <c r="C67" s="132"/>
      <c r="D67" s="132" t="s">
        <v>143</v>
      </c>
      <c r="E67" s="132"/>
      <c r="F67" s="133" t="s">
        <v>144</v>
      </c>
      <c r="G67" s="132"/>
      <c r="H67" s="132"/>
      <c r="I67" s="134" t="s">
        <v>145</v>
      </c>
      <c r="J67" s="132"/>
    </row>
    <row r="68" ht="28" spans="1:10">
      <c r="A68" s="134">
        <v>1</v>
      </c>
      <c r="B68" s="159">
        <v>45957</v>
      </c>
      <c r="C68" s="132" t="s">
        <v>146</v>
      </c>
      <c r="D68" s="132" t="s">
        <v>147</v>
      </c>
      <c r="E68" s="132" t="s">
        <v>148</v>
      </c>
      <c r="F68" s="132" t="s">
        <v>149</v>
      </c>
      <c r="G68" s="132" t="s">
        <v>149</v>
      </c>
      <c r="H68" s="132" t="s">
        <v>149</v>
      </c>
      <c r="I68" s="160">
        <v>4746.49</v>
      </c>
      <c r="J68" s="132"/>
    </row>
    <row r="69" ht="28" spans="1:10">
      <c r="A69" s="134">
        <v>1</v>
      </c>
      <c r="B69" s="159">
        <v>45957</v>
      </c>
      <c r="C69" s="132" t="s">
        <v>146</v>
      </c>
      <c r="D69" s="132" t="s">
        <v>147</v>
      </c>
      <c r="E69" s="132" t="s">
        <v>150</v>
      </c>
      <c r="F69" s="132" t="s">
        <v>149</v>
      </c>
      <c r="G69" s="132" t="s">
        <v>149</v>
      </c>
      <c r="H69" s="132" t="s">
        <v>149</v>
      </c>
      <c r="I69" s="160">
        <v>120925.03</v>
      </c>
      <c r="J69" s="132"/>
    </row>
    <row r="70" ht="28" spans="1:10">
      <c r="A70" s="134">
        <v>1</v>
      </c>
      <c r="B70" s="159">
        <v>45957</v>
      </c>
      <c r="C70" s="132" t="s">
        <v>146</v>
      </c>
      <c r="D70" s="132" t="s">
        <v>147</v>
      </c>
      <c r="E70" s="132" t="s">
        <v>151</v>
      </c>
      <c r="F70" s="132" t="s">
        <v>149</v>
      </c>
      <c r="G70" s="132" t="s">
        <v>149</v>
      </c>
      <c r="H70" s="132" t="s">
        <v>149</v>
      </c>
      <c r="I70" s="160">
        <v>26844.46</v>
      </c>
      <c r="J70" s="132"/>
    </row>
    <row r="71" ht="28" spans="1:10">
      <c r="A71" s="134">
        <v>1</v>
      </c>
      <c r="B71" s="159">
        <v>45957</v>
      </c>
      <c r="C71" s="132" t="s">
        <v>146</v>
      </c>
      <c r="D71" s="132" t="s">
        <v>147</v>
      </c>
      <c r="E71" s="132" t="s">
        <v>148</v>
      </c>
      <c r="F71" s="132" t="s">
        <v>149</v>
      </c>
      <c r="G71" s="132" t="s">
        <v>149</v>
      </c>
      <c r="H71" s="132" t="s">
        <v>149</v>
      </c>
      <c r="I71" s="160">
        <v>4440.32</v>
      </c>
      <c r="J71" s="132"/>
    </row>
    <row r="72" ht="28" spans="1:10">
      <c r="A72" s="134">
        <v>1</v>
      </c>
      <c r="B72" s="159">
        <v>45957</v>
      </c>
      <c r="C72" s="132" t="s">
        <v>146</v>
      </c>
      <c r="D72" s="132" t="s">
        <v>147</v>
      </c>
      <c r="E72" s="132" t="s">
        <v>150</v>
      </c>
      <c r="F72" s="132" t="s">
        <v>149</v>
      </c>
      <c r="G72" s="132" t="s">
        <v>149</v>
      </c>
      <c r="H72" s="132" t="s">
        <v>149</v>
      </c>
      <c r="I72" s="160">
        <v>7618.49</v>
      </c>
      <c r="J72" s="132"/>
    </row>
    <row r="73" ht="28" spans="1:10">
      <c r="A73" s="134">
        <v>1</v>
      </c>
      <c r="B73" s="159">
        <v>45957</v>
      </c>
      <c r="C73" s="132" t="s">
        <v>146</v>
      </c>
      <c r="D73" s="132" t="s">
        <v>147</v>
      </c>
      <c r="E73" s="132" t="s">
        <v>151</v>
      </c>
      <c r="F73" s="132" t="s">
        <v>149</v>
      </c>
      <c r="G73" s="132" t="s">
        <v>149</v>
      </c>
      <c r="H73" s="132" t="s">
        <v>149</v>
      </c>
      <c r="I73" s="160">
        <v>23626.97</v>
      </c>
      <c r="J73" s="132"/>
    </row>
  </sheetData>
  <autoFilter xmlns:etc="http://www.wps.cn/officeDocument/2017/etCustomData" ref="A1:I62" etc:filterBottomFollowUsedRange="0">
    <extLst/>
  </autoFilter>
  <mergeCells count="79">
    <mergeCell ref="A1:I1"/>
    <mergeCell ref="A65:J65"/>
    <mergeCell ref="A3:A4"/>
    <mergeCell ref="A5:A8"/>
    <mergeCell ref="A9:A12"/>
    <mergeCell ref="A13:A14"/>
    <mergeCell ref="A15:A18"/>
    <mergeCell ref="A19:A22"/>
    <mergeCell ref="A23:A26"/>
    <mergeCell ref="A27:A30"/>
    <mergeCell ref="A31:A34"/>
    <mergeCell ref="A35:A38"/>
    <mergeCell ref="A39:A43"/>
    <mergeCell ref="A44:A48"/>
    <mergeCell ref="A49:A52"/>
    <mergeCell ref="A54:A57"/>
    <mergeCell ref="A66:A67"/>
    <mergeCell ref="B3:B4"/>
    <mergeCell ref="B5:B8"/>
    <mergeCell ref="B9:B12"/>
    <mergeCell ref="B13:B14"/>
    <mergeCell ref="B15:B18"/>
    <mergeCell ref="B19:B22"/>
    <mergeCell ref="B23:B26"/>
    <mergeCell ref="B27:B30"/>
    <mergeCell ref="B31:B34"/>
    <mergeCell ref="B35:B38"/>
    <mergeCell ref="B39:B43"/>
    <mergeCell ref="B44:B48"/>
    <mergeCell ref="B49:B52"/>
    <mergeCell ref="B54:B57"/>
    <mergeCell ref="B66:B67"/>
    <mergeCell ref="C3:C4"/>
    <mergeCell ref="C5:C8"/>
    <mergeCell ref="C9:C12"/>
    <mergeCell ref="C13:C14"/>
    <mergeCell ref="C15:C18"/>
    <mergeCell ref="C19:C22"/>
    <mergeCell ref="C23:C26"/>
    <mergeCell ref="C27:C30"/>
    <mergeCell ref="C31:C34"/>
    <mergeCell ref="C35:C38"/>
    <mergeCell ref="C39:C43"/>
    <mergeCell ref="C44:C48"/>
    <mergeCell ref="C49:C52"/>
    <mergeCell ref="C54:C57"/>
    <mergeCell ref="C66:C67"/>
    <mergeCell ref="D3:D4"/>
    <mergeCell ref="D5:D8"/>
    <mergeCell ref="D9:D12"/>
    <mergeCell ref="D13:D14"/>
    <mergeCell ref="D15:D18"/>
    <mergeCell ref="D19:D22"/>
    <mergeCell ref="D23:D26"/>
    <mergeCell ref="D27:D30"/>
    <mergeCell ref="D31:D34"/>
    <mergeCell ref="D35:D38"/>
    <mergeCell ref="D39:D43"/>
    <mergeCell ref="D44:D48"/>
    <mergeCell ref="D49:D52"/>
    <mergeCell ref="D54:D57"/>
    <mergeCell ref="E3:E4"/>
    <mergeCell ref="E5:E8"/>
    <mergeCell ref="E9:E12"/>
    <mergeCell ref="E13:E14"/>
    <mergeCell ref="E15:E18"/>
    <mergeCell ref="E19:E22"/>
    <mergeCell ref="E23:E26"/>
    <mergeCell ref="E27:E30"/>
    <mergeCell ref="E31:E34"/>
    <mergeCell ref="E35:E38"/>
    <mergeCell ref="E39:E43"/>
    <mergeCell ref="E44:E48"/>
    <mergeCell ref="E49:E52"/>
    <mergeCell ref="E54:E57"/>
    <mergeCell ref="E66:E67"/>
    <mergeCell ref="G66:G67"/>
    <mergeCell ref="H66:H67"/>
    <mergeCell ref="J66:J6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topLeftCell="A71" workbookViewId="0">
      <selection activeCell="F106" sqref="F106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7" width="11" style="95" customWidth="1"/>
    <col min="8" max="8" width="15.2727272727273" style="95" customWidth="1"/>
    <col min="9" max="9" width="14.9090909090909" style="95" customWidth="1"/>
    <col min="10" max="10" width="12.8181818181818" style="1"/>
    <col min="11" max="11" width="9.54545454545454" style="1"/>
    <col min="12" max="12" width="10.5454545454545" style="1"/>
    <col min="13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3">
        <v>45760</v>
      </c>
      <c r="B3" s="14" t="s">
        <v>10</v>
      </c>
      <c r="C3" s="14" t="s">
        <v>253</v>
      </c>
      <c r="D3" s="15" t="s">
        <v>254</v>
      </c>
      <c r="E3" s="14" t="s">
        <v>255</v>
      </c>
      <c r="F3" s="14" t="s">
        <v>14</v>
      </c>
      <c r="G3" s="16">
        <v>47252</v>
      </c>
      <c r="H3" s="16">
        <v>0.22</v>
      </c>
      <c r="I3" s="117">
        <f t="shared" ref="I3:I66" si="0">G3*H3</f>
        <v>10395.44</v>
      </c>
    </row>
    <row r="4" customHeight="1" spans="1:9">
      <c r="A4" s="13"/>
      <c r="B4" s="14"/>
      <c r="C4" s="14"/>
      <c r="D4" s="15"/>
      <c r="E4" s="14"/>
      <c r="F4" s="16" t="s">
        <v>15</v>
      </c>
      <c r="G4" s="16">
        <v>47252</v>
      </c>
      <c r="H4" s="16">
        <v>0.08</v>
      </c>
      <c r="I4" s="117">
        <f t="shared" si="0"/>
        <v>3780.16</v>
      </c>
    </row>
    <row r="5" customHeight="1" spans="1:9">
      <c r="A5" s="13"/>
      <c r="B5" s="14"/>
      <c r="C5" s="14"/>
      <c r="D5" s="15"/>
      <c r="E5" s="14"/>
      <c r="F5" s="14" t="s">
        <v>63</v>
      </c>
      <c r="G5" s="16">
        <v>341260</v>
      </c>
      <c r="H5" s="16">
        <v>0.04</v>
      </c>
      <c r="I5" s="117">
        <f t="shared" si="0"/>
        <v>13650.4</v>
      </c>
    </row>
    <row r="6" customHeight="1" spans="1:9">
      <c r="A6" s="13"/>
      <c r="B6" s="14"/>
      <c r="C6" s="14"/>
      <c r="D6" s="15"/>
      <c r="E6" s="14"/>
      <c r="F6" s="14" t="s">
        <v>57</v>
      </c>
      <c r="G6" s="16">
        <v>68252</v>
      </c>
      <c r="H6" s="16">
        <v>0.26</v>
      </c>
      <c r="I6" s="117">
        <f t="shared" si="0"/>
        <v>17745.52</v>
      </c>
    </row>
    <row r="7" customHeight="1" spans="1:9">
      <c r="A7" s="13"/>
      <c r="B7" s="14"/>
      <c r="C7" s="14"/>
      <c r="D7" s="15"/>
      <c r="E7" s="14"/>
      <c r="F7" s="16" t="s">
        <v>74</v>
      </c>
      <c r="G7" s="16">
        <v>4983</v>
      </c>
      <c r="H7" s="16">
        <v>0.04</v>
      </c>
      <c r="I7" s="117">
        <f t="shared" si="0"/>
        <v>199.32</v>
      </c>
    </row>
    <row r="8" customHeight="1" spans="1:9">
      <c r="A8" s="13"/>
      <c r="B8" s="14"/>
      <c r="C8" s="14"/>
      <c r="D8" s="15"/>
      <c r="E8" s="14"/>
      <c r="F8" s="16" t="s">
        <v>57</v>
      </c>
      <c r="G8" s="16">
        <v>4983</v>
      </c>
      <c r="H8" s="16">
        <v>0.26</v>
      </c>
      <c r="I8" s="117">
        <f t="shared" si="0"/>
        <v>1295.58</v>
      </c>
    </row>
    <row r="9" customHeight="1" spans="1:9">
      <c r="A9" s="13">
        <v>45763</v>
      </c>
      <c r="B9" s="14" t="s">
        <v>10</v>
      </c>
      <c r="C9" s="14" t="s">
        <v>256</v>
      </c>
      <c r="D9" s="15" t="s">
        <v>257</v>
      </c>
      <c r="E9" s="14" t="s">
        <v>258</v>
      </c>
      <c r="F9" s="14" t="s">
        <v>161</v>
      </c>
      <c r="G9" s="16">
        <v>18901</v>
      </c>
      <c r="H9" s="16">
        <v>0.21</v>
      </c>
      <c r="I9" s="117">
        <f t="shared" si="0"/>
        <v>3969.21</v>
      </c>
    </row>
    <row r="10" customHeight="1" spans="1:9">
      <c r="A10" s="13"/>
      <c r="B10" s="14"/>
      <c r="C10" s="14"/>
      <c r="D10" s="15"/>
      <c r="E10" s="14"/>
      <c r="F10" s="16" t="s">
        <v>15</v>
      </c>
      <c r="G10" s="16">
        <v>18901</v>
      </c>
      <c r="H10" s="16">
        <v>0.08</v>
      </c>
      <c r="I10" s="117">
        <f t="shared" si="0"/>
        <v>1512.08</v>
      </c>
    </row>
    <row r="11" customHeight="1" spans="1:9">
      <c r="A11" s="13"/>
      <c r="B11" s="14"/>
      <c r="C11" s="14"/>
      <c r="D11" s="15"/>
      <c r="E11" s="14"/>
      <c r="F11" s="16" t="s">
        <v>259</v>
      </c>
      <c r="G11" s="16">
        <f>14165+4736</f>
        <v>18901</v>
      </c>
      <c r="H11" s="16">
        <v>0.58</v>
      </c>
      <c r="I11" s="117">
        <f t="shared" si="0"/>
        <v>10962.58</v>
      </c>
    </row>
    <row r="12" customHeight="1" spans="1:9">
      <c r="A12" s="13"/>
      <c r="B12" s="14"/>
      <c r="C12" s="14"/>
      <c r="D12" s="15"/>
      <c r="E12" s="14"/>
      <c r="F12" s="16" t="s">
        <v>28</v>
      </c>
      <c r="G12" s="16">
        <f>18901*4</f>
        <v>75604</v>
      </c>
      <c r="H12" s="16">
        <v>0.04</v>
      </c>
      <c r="I12" s="117">
        <f t="shared" si="0"/>
        <v>3024.16</v>
      </c>
    </row>
    <row r="13" customHeight="1" spans="1:9">
      <c r="A13" s="13"/>
      <c r="B13" s="14"/>
      <c r="C13" s="14"/>
      <c r="D13" s="15"/>
      <c r="E13" s="14"/>
      <c r="F13" s="14" t="s">
        <v>193</v>
      </c>
      <c r="G13" s="16">
        <v>18901</v>
      </c>
      <c r="H13" s="16">
        <v>0.19</v>
      </c>
      <c r="I13" s="117">
        <f t="shared" si="0"/>
        <v>3591.19</v>
      </c>
    </row>
    <row r="14" ht="47" customHeight="1" spans="1:9">
      <c r="A14" s="13">
        <v>45764</v>
      </c>
      <c r="B14" s="14" t="s">
        <v>10</v>
      </c>
      <c r="C14" s="14" t="s">
        <v>260</v>
      </c>
      <c r="D14" s="15" t="s">
        <v>261</v>
      </c>
      <c r="E14" s="14" t="s">
        <v>262</v>
      </c>
      <c r="F14" s="16" t="s">
        <v>28</v>
      </c>
      <c r="G14" s="16">
        <f>55044*4</f>
        <v>220176</v>
      </c>
      <c r="H14" s="16">
        <v>0.04</v>
      </c>
      <c r="I14" s="117">
        <f t="shared" si="0"/>
        <v>8807.04</v>
      </c>
    </row>
    <row r="15" ht="28" customHeight="1" spans="1:9">
      <c r="A15" s="13">
        <v>45770</v>
      </c>
      <c r="B15" s="14" t="s">
        <v>10</v>
      </c>
      <c r="C15" s="14" t="s">
        <v>263</v>
      </c>
      <c r="D15" s="15" t="s">
        <v>264</v>
      </c>
      <c r="E15" s="14" t="s">
        <v>265</v>
      </c>
      <c r="F15" s="14" t="s">
        <v>154</v>
      </c>
      <c r="G15" s="16">
        <v>6460</v>
      </c>
      <c r="H15" s="16">
        <v>0.2</v>
      </c>
      <c r="I15" s="117">
        <f t="shared" si="0"/>
        <v>1292</v>
      </c>
    </row>
    <row r="16" customHeight="1" spans="1:9">
      <c r="A16" s="13">
        <v>45773</v>
      </c>
      <c r="B16" s="14" t="s">
        <v>10</v>
      </c>
      <c r="C16" s="14" t="s">
        <v>266</v>
      </c>
      <c r="D16" s="15" t="s">
        <v>267</v>
      </c>
      <c r="E16" s="14" t="s">
        <v>268</v>
      </c>
      <c r="F16" s="14" t="s">
        <v>14</v>
      </c>
      <c r="G16" s="16">
        <v>31500</v>
      </c>
      <c r="H16" s="16">
        <v>0.21</v>
      </c>
      <c r="I16" s="117">
        <f t="shared" si="0"/>
        <v>6615</v>
      </c>
    </row>
    <row r="17" customHeight="1" spans="1:9">
      <c r="A17" s="13"/>
      <c r="B17" s="14"/>
      <c r="C17" s="14"/>
      <c r="D17" s="15"/>
      <c r="E17" s="14"/>
      <c r="F17" s="16" t="s">
        <v>15</v>
      </c>
      <c r="G17" s="16">
        <v>31500</v>
      </c>
      <c r="H17" s="16">
        <v>0.08</v>
      </c>
      <c r="I17" s="117">
        <f t="shared" si="0"/>
        <v>2520</v>
      </c>
    </row>
    <row r="18" customHeight="1" spans="1:9">
      <c r="A18" s="13"/>
      <c r="B18" s="14"/>
      <c r="C18" s="14"/>
      <c r="D18" s="15"/>
      <c r="E18" s="14"/>
      <c r="F18" s="16" t="s">
        <v>28</v>
      </c>
      <c r="G18" s="16">
        <f>31500*4</f>
        <v>126000</v>
      </c>
      <c r="H18" s="16">
        <v>0.04</v>
      </c>
      <c r="I18" s="117">
        <f t="shared" si="0"/>
        <v>5040</v>
      </c>
    </row>
    <row r="19" customHeight="1" spans="1:9">
      <c r="A19" s="13"/>
      <c r="B19" s="14"/>
      <c r="C19" s="14"/>
      <c r="D19" s="15"/>
      <c r="E19" s="14"/>
      <c r="F19" s="14" t="s">
        <v>17</v>
      </c>
      <c r="G19" s="16">
        <v>31500</v>
      </c>
      <c r="H19" s="16">
        <v>0.12</v>
      </c>
      <c r="I19" s="117">
        <f t="shared" si="0"/>
        <v>3780</v>
      </c>
    </row>
    <row r="20" customHeight="1" spans="1:9">
      <c r="A20" s="13">
        <v>45773</v>
      </c>
      <c r="B20" s="14" t="s">
        <v>10</v>
      </c>
      <c r="C20" s="14">
        <v>25127</v>
      </c>
      <c r="D20" s="15" t="s">
        <v>269</v>
      </c>
      <c r="E20" s="14" t="s">
        <v>270</v>
      </c>
      <c r="F20" s="14" t="s">
        <v>14</v>
      </c>
      <c r="G20" s="16">
        <v>26251</v>
      </c>
      <c r="H20" s="16">
        <v>0.21</v>
      </c>
      <c r="I20" s="117">
        <f t="shared" si="0"/>
        <v>5512.71</v>
      </c>
    </row>
    <row r="21" spans="1:9">
      <c r="A21" s="13"/>
      <c r="B21" s="14"/>
      <c r="C21" s="14"/>
      <c r="D21" s="15"/>
      <c r="E21" s="14"/>
      <c r="F21" s="16" t="s">
        <v>15</v>
      </c>
      <c r="G21" s="16">
        <v>26251</v>
      </c>
      <c r="H21" s="16">
        <v>0.08</v>
      </c>
      <c r="I21" s="117">
        <f t="shared" si="0"/>
        <v>2100.08</v>
      </c>
    </row>
    <row r="22" customHeight="1" spans="1:9">
      <c r="A22" s="13">
        <v>45774</v>
      </c>
      <c r="B22" s="14" t="s">
        <v>10</v>
      </c>
      <c r="C22" s="14" t="s">
        <v>271</v>
      </c>
      <c r="D22" s="15" t="s">
        <v>272</v>
      </c>
      <c r="E22" s="14" t="s">
        <v>273</v>
      </c>
      <c r="F22" s="14" t="s">
        <v>14</v>
      </c>
      <c r="G22" s="16">
        <v>73502</v>
      </c>
      <c r="H22" s="16">
        <v>0.21</v>
      </c>
      <c r="I22" s="117">
        <f t="shared" si="0"/>
        <v>15435.42</v>
      </c>
    </row>
    <row r="23" customHeight="1" spans="1:9">
      <c r="A23" s="13"/>
      <c r="B23" s="14"/>
      <c r="C23" s="14"/>
      <c r="D23" s="15"/>
      <c r="E23" s="14"/>
      <c r="F23" s="16" t="s">
        <v>15</v>
      </c>
      <c r="G23" s="16">
        <v>73502</v>
      </c>
      <c r="H23" s="16">
        <v>0.08</v>
      </c>
      <c r="I23" s="117">
        <f t="shared" si="0"/>
        <v>5880.16</v>
      </c>
    </row>
    <row r="24" customHeight="1" spans="1:9">
      <c r="A24" s="13"/>
      <c r="B24" s="14"/>
      <c r="C24" s="14"/>
      <c r="D24" s="15"/>
      <c r="E24" s="14"/>
      <c r="F24" s="16" t="s">
        <v>25</v>
      </c>
      <c r="G24" s="16">
        <f>73502*5</f>
        <v>367510</v>
      </c>
      <c r="H24" s="16">
        <v>0.04</v>
      </c>
      <c r="I24" s="117">
        <f t="shared" si="0"/>
        <v>14700.4</v>
      </c>
    </row>
    <row r="25" customHeight="1" spans="1:9">
      <c r="A25" s="13"/>
      <c r="B25" s="14"/>
      <c r="C25" s="14"/>
      <c r="D25" s="15"/>
      <c r="E25" s="14"/>
      <c r="F25" s="14" t="s">
        <v>17</v>
      </c>
      <c r="G25" s="16">
        <v>73502</v>
      </c>
      <c r="H25" s="16">
        <v>0.12</v>
      </c>
      <c r="I25" s="117">
        <f t="shared" si="0"/>
        <v>8820.24</v>
      </c>
    </row>
    <row r="26" customHeight="1" spans="1:9">
      <c r="A26" s="13">
        <v>45774</v>
      </c>
      <c r="B26" s="14" t="s">
        <v>10</v>
      </c>
      <c r="C26" s="14" t="s">
        <v>274</v>
      </c>
      <c r="D26" s="15" t="s">
        <v>275</v>
      </c>
      <c r="E26" s="14" t="s">
        <v>276</v>
      </c>
      <c r="F26" s="14" t="s">
        <v>14</v>
      </c>
      <c r="G26" s="17">
        <v>21000</v>
      </c>
      <c r="H26" s="17">
        <v>0.21</v>
      </c>
      <c r="I26" s="117">
        <f t="shared" si="0"/>
        <v>4410</v>
      </c>
    </row>
    <row r="27" customHeight="1" spans="1:9">
      <c r="A27" s="13"/>
      <c r="B27" s="14"/>
      <c r="C27" s="14"/>
      <c r="D27" s="15"/>
      <c r="E27" s="14"/>
      <c r="F27" s="16" t="s">
        <v>15</v>
      </c>
      <c r="G27" s="17">
        <v>21000</v>
      </c>
      <c r="H27" s="17">
        <v>0.08</v>
      </c>
      <c r="I27" s="117">
        <f t="shared" si="0"/>
        <v>1680</v>
      </c>
    </row>
    <row r="28" customHeight="1" spans="1:9">
      <c r="A28" s="13"/>
      <c r="B28" s="14"/>
      <c r="C28" s="14"/>
      <c r="D28" s="15"/>
      <c r="E28" s="14"/>
      <c r="F28" s="16" t="s">
        <v>25</v>
      </c>
      <c r="G28" s="17">
        <f>21000*5</f>
        <v>105000</v>
      </c>
      <c r="H28" s="17">
        <v>0.04</v>
      </c>
      <c r="I28" s="117">
        <f t="shared" si="0"/>
        <v>4200</v>
      </c>
    </row>
    <row r="29" customHeight="1" spans="1:9">
      <c r="A29" s="13"/>
      <c r="B29" s="14"/>
      <c r="C29" s="14"/>
      <c r="D29" s="15"/>
      <c r="E29" s="14"/>
      <c r="F29" s="14" t="s">
        <v>57</v>
      </c>
      <c r="G29" s="17">
        <v>21000</v>
      </c>
      <c r="H29" s="17">
        <v>0.24</v>
      </c>
      <c r="I29" s="117">
        <f t="shared" si="0"/>
        <v>5040</v>
      </c>
    </row>
    <row r="30" customHeight="1" spans="1:9">
      <c r="A30" s="13">
        <v>45774</v>
      </c>
      <c r="B30" s="14" t="s">
        <v>10</v>
      </c>
      <c r="C30" s="14" t="s">
        <v>277</v>
      </c>
      <c r="D30" s="15" t="s">
        <v>278</v>
      </c>
      <c r="E30" s="14" t="s">
        <v>279</v>
      </c>
      <c r="F30" s="14" t="s">
        <v>14</v>
      </c>
      <c r="G30" s="17">
        <v>8400</v>
      </c>
      <c r="H30" s="17">
        <v>0.21</v>
      </c>
      <c r="I30" s="117">
        <f t="shared" si="0"/>
        <v>1764</v>
      </c>
    </row>
    <row r="31" customHeight="1" spans="1:9">
      <c r="A31" s="13"/>
      <c r="B31" s="14"/>
      <c r="C31" s="14"/>
      <c r="D31" s="15"/>
      <c r="E31" s="14"/>
      <c r="F31" s="16" t="s">
        <v>15</v>
      </c>
      <c r="G31" s="17">
        <v>8400</v>
      </c>
      <c r="H31" s="17">
        <v>0.08</v>
      </c>
      <c r="I31" s="117">
        <f t="shared" si="0"/>
        <v>672</v>
      </c>
    </row>
    <row r="32" customHeight="1" spans="1:9">
      <c r="A32" s="13"/>
      <c r="B32" s="14"/>
      <c r="C32" s="14"/>
      <c r="D32" s="15"/>
      <c r="E32" s="14"/>
      <c r="F32" s="16" t="s">
        <v>63</v>
      </c>
      <c r="G32" s="16">
        <f>8400*5</f>
        <v>42000</v>
      </c>
      <c r="H32" s="17">
        <v>0.04</v>
      </c>
      <c r="I32" s="117">
        <f t="shared" si="0"/>
        <v>1680</v>
      </c>
    </row>
    <row r="33" customHeight="1" spans="1:9">
      <c r="A33" s="13"/>
      <c r="B33" s="14"/>
      <c r="C33" s="14"/>
      <c r="D33" s="15"/>
      <c r="E33" s="14"/>
      <c r="F33" s="14" t="s">
        <v>57</v>
      </c>
      <c r="G33" s="17">
        <v>8400</v>
      </c>
      <c r="H33" s="17">
        <v>0.24</v>
      </c>
      <c r="I33" s="117">
        <f t="shared" si="0"/>
        <v>2016</v>
      </c>
    </row>
    <row r="34" customHeight="1" spans="1:9">
      <c r="A34" s="118">
        <v>45774</v>
      </c>
      <c r="B34" s="36" t="s">
        <v>10</v>
      </c>
      <c r="C34" s="36" t="s">
        <v>280</v>
      </c>
      <c r="D34" s="119" t="s">
        <v>281</v>
      </c>
      <c r="E34" s="36" t="s">
        <v>282</v>
      </c>
      <c r="F34" s="14" t="s">
        <v>154</v>
      </c>
      <c r="G34" s="16">
        <v>5888</v>
      </c>
      <c r="H34" s="16">
        <v>0.2</v>
      </c>
      <c r="I34" s="117">
        <f t="shared" si="0"/>
        <v>1177.6</v>
      </c>
    </row>
    <row r="35" customHeight="1" spans="1:9">
      <c r="A35" s="120"/>
      <c r="B35" s="46"/>
      <c r="C35" s="46"/>
      <c r="D35" s="121"/>
      <c r="E35" s="46"/>
      <c r="F35" s="14" t="s">
        <v>283</v>
      </c>
      <c r="G35" s="16">
        <v>1912</v>
      </c>
      <c r="H35" s="16">
        <v>0.2</v>
      </c>
      <c r="I35" s="117">
        <f t="shared" si="0"/>
        <v>382.4</v>
      </c>
    </row>
    <row r="36" customHeight="1" spans="1:9">
      <c r="A36" s="13">
        <v>45775</v>
      </c>
      <c r="B36" s="14" t="s">
        <v>10</v>
      </c>
      <c r="C36" s="14" t="s">
        <v>284</v>
      </c>
      <c r="D36" s="15" t="s">
        <v>285</v>
      </c>
      <c r="E36" s="14" t="s">
        <v>286</v>
      </c>
      <c r="F36" s="14" t="s">
        <v>161</v>
      </c>
      <c r="G36" s="16">
        <v>82956</v>
      </c>
      <c r="H36" s="16">
        <v>0.21</v>
      </c>
      <c r="I36" s="117">
        <f t="shared" si="0"/>
        <v>17420.76</v>
      </c>
    </row>
    <row r="37" customHeight="1" spans="1:9">
      <c r="A37" s="13"/>
      <c r="B37" s="14"/>
      <c r="C37" s="14"/>
      <c r="D37" s="15"/>
      <c r="E37" s="14"/>
      <c r="F37" s="16" t="s">
        <v>15</v>
      </c>
      <c r="G37" s="16">
        <v>82956</v>
      </c>
      <c r="H37" s="16">
        <v>0.08</v>
      </c>
      <c r="I37" s="117">
        <f t="shared" si="0"/>
        <v>6636.48</v>
      </c>
    </row>
    <row r="38" customHeight="1" spans="1:9">
      <c r="A38" s="13"/>
      <c r="B38" s="14"/>
      <c r="C38" s="14"/>
      <c r="D38" s="15"/>
      <c r="E38" s="14"/>
      <c r="F38" s="14" t="s">
        <v>287</v>
      </c>
      <c r="G38" s="16">
        <v>82956</v>
      </c>
      <c r="H38" s="16">
        <v>0.08</v>
      </c>
      <c r="I38" s="117">
        <f t="shared" si="0"/>
        <v>6636.48</v>
      </c>
    </row>
    <row r="39" customHeight="1" spans="1:9">
      <c r="A39" s="13"/>
      <c r="B39" s="14"/>
      <c r="C39" s="14"/>
      <c r="D39" s="15"/>
      <c r="E39" s="14"/>
      <c r="F39" s="14" t="s">
        <v>288</v>
      </c>
      <c r="G39" s="16">
        <f>82956*5</f>
        <v>414780</v>
      </c>
      <c r="H39" s="16">
        <v>0.04</v>
      </c>
      <c r="I39" s="117">
        <f t="shared" si="0"/>
        <v>16591.2</v>
      </c>
    </row>
    <row r="40" customHeight="1" spans="1:9">
      <c r="A40" s="13"/>
      <c r="B40" s="14"/>
      <c r="C40" s="14"/>
      <c r="D40" s="15"/>
      <c r="E40" s="14"/>
      <c r="F40" s="14" t="s">
        <v>259</v>
      </c>
      <c r="G40" s="16">
        <v>82956</v>
      </c>
      <c r="H40" s="16">
        <v>0.58</v>
      </c>
      <c r="I40" s="117">
        <f t="shared" si="0"/>
        <v>48114.48</v>
      </c>
    </row>
    <row r="41" customHeight="1" spans="1:9">
      <c r="A41" s="13">
        <v>45776</v>
      </c>
      <c r="B41" s="14" t="s">
        <v>10</v>
      </c>
      <c r="C41" s="14">
        <v>78554</v>
      </c>
      <c r="D41" s="15" t="s">
        <v>289</v>
      </c>
      <c r="E41" s="14" t="s">
        <v>290</v>
      </c>
      <c r="F41" s="14" t="s">
        <v>14</v>
      </c>
      <c r="G41" s="16">
        <v>6826</v>
      </c>
      <c r="H41" s="16">
        <v>0.21</v>
      </c>
      <c r="I41" s="117">
        <f t="shared" si="0"/>
        <v>1433.46</v>
      </c>
    </row>
    <row r="42" customHeight="1" spans="1:9">
      <c r="A42" s="13"/>
      <c r="B42" s="14"/>
      <c r="C42" s="14"/>
      <c r="D42" s="15"/>
      <c r="E42" s="14"/>
      <c r="F42" s="16" t="s">
        <v>15</v>
      </c>
      <c r="G42" s="16">
        <v>6826</v>
      </c>
      <c r="H42" s="16">
        <v>0.08</v>
      </c>
      <c r="I42" s="117">
        <f t="shared" si="0"/>
        <v>546.08</v>
      </c>
    </row>
    <row r="43" customHeight="1" spans="1:9">
      <c r="A43" s="13"/>
      <c r="B43" s="14"/>
      <c r="C43" s="14"/>
      <c r="D43" s="15"/>
      <c r="E43" s="14"/>
      <c r="F43" s="16" t="s">
        <v>28</v>
      </c>
      <c r="G43" s="16">
        <f>6826*4</f>
        <v>27304</v>
      </c>
      <c r="H43" s="16">
        <v>0.04</v>
      </c>
      <c r="I43" s="117">
        <f t="shared" si="0"/>
        <v>1092.16</v>
      </c>
    </row>
    <row r="44" customHeight="1" spans="1:9">
      <c r="A44" s="13"/>
      <c r="B44" s="14"/>
      <c r="C44" s="14"/>
      <c r="D44" s="15"/>
      <c r="E44" s="14"/>
      <c r="F44" s="14" t="s">
        <v>17</v>
      </c>
      <c r="G44" s="16">
        <v>6826</v>
      </c>
      <c r="H44" s="16">
        <v>0.12</v>
      </c>
      <c r="I44" s="117">
        <f t="shared" si="0"/>
        <v>819.12</v>
      </c>
    </row>
    <row r="45" customHeight="1" spans="1:9">
      <c r="A45" s="13">
        <v>45777</v>
      </c>
      <c r="B45" s="14" t="s">
        <v>10</v>
      </c>
      <c r="C45" s="14">
        <v>25302</v>
      </c>
      <c r="D45" s="15" t="s">
        <v>291</v>
      </c>
      <c r="E45" s="14" t="s">
        <v>292</v>
      </c>
      <c r="F45" s="14" t="s">
        <v>14</v>
      </c>
      <c r="G45" s="16">
        <v>20000</v>
      </c>
      <c r="H45" s="16">
        <v>0.21</v>
      </c>
      <c r="I45" s="117">
        <f t="shared" si="0"/>
        <v>4200</v>
      </c>
    </row>
    <row r="46" customHeight="1" spans="1:9">
      <c r="A46" s="13"/>
      <c r="B46" s="14"/>
      <c r="C46" s="14"/>
      <c r="D46" s="15"/>
      <c r="E46" s="14"/>
      <c r="F46" s="16" t="s">
        <v>15</v>
      </c>
      <c r="G46" s="16">
        <v>20000</v>
      </c>
      <c r="H46" s="16">
        <v>0.08</v>
      </c>
      <c r="I46" s="117">
        <f t="shared" si="0"/>
        <v>1600</v>
      </c>
    </row>
    <row r="47" customHeight="1" spans="1:9">
      <c r="A47" s="13"/>
      <c r="B47" s="14"/>
      <c r="C47" s="14"/>
      <c r="D47" s="15"/>
      <c r="E47" s="14"/>
      <c r="F47" s="16" t="s">
        <v>25</v>
      </c>
      <c r="G47" s="16">
        <f>20000*5</f>
        <v>100000</v>
      </c>
      <c r="H47" s="16">
        <v>0.04</v>
      </c>
      <c r="I47" s="122">
        <f t="shared" si="0"/>
        <v>4000</v>
      </c>
    </row>
    <row r="48" customHeight="1" spans="1:9">
      <c r="A48" s="13"/>
      <c r="B48" s="14"/>
      <c r="C48" s="14"/>
      <c r="D48" s="15"/>
      <c r="E48" s="14"/>
      <c r="F48" s="14" t="s">
        <v>17</v>
      </c>
      <c r="G48" s="16">
        <v>20000</v>
      </c>
      <c r="H48" s="16">
        <v>0.12</v>
      </c>
      <c r="I48" s="122">
        <f t="shared" si="0"/>
        <v>2400</v>
      </c>
    </row>
    <row r="49" customHeight="1" spans="1:9">
      <c r="A49" s="13">
        <v>45781</v>
      </c>
      <c r="B49" s="14" t="s">
        <v>10</v>
      </c>
      <c r="C49" s="14" t="s">
        <v>293</v>
      </c>
      <c r="D49" s="15" t="s">
        <v>294</v>
      </c>
      <c r="E49" s="14" t="s">
        <v>295</v>
      </c>
      <c r="F49" s="14" t="s">
        <v>14</v>
      </c>
      <c r="G49" s="16">
        <v>1917</v>
      </c>
      <c r="H49" s="16">
        <v>0.21</v>
      </c>
      <c r="I49" s="122">
        <f t="shared" si="0"/>
        <v>402.57</v>
      </c>
    </row>
    <row r="50" customHeight="1" spans="1:9">
      <c r="A50" s="13"/>
      <c r="B50" s="14"/>
      <c r="C50" s="14"/>
      <c r="D50" s="15"/>
      <c r="E50" s="14"/>
      <c r="F50" s="16" t="s">
        <v>15</v>
      </c>
      <c r="G50" s="16">
        <v>1917</v>
      </c>
      <c r="H50" s="16">
        <v>0.08</v>
      </c>
      <c r="I50" s="117">
        <f t="shared" si="0"/>
        <v>153.36</v>
      </c>
    </row>
    <row r="51" customHeight="1" spans="1:9">
      <c r="A51" s="13"/>
      <c r="B51" s="14"/>
      <c r="C51" s="14"/>
      <c r="D51" s="15"/>
      <c r="E51" s="14"/>
      <c r="F51" s="16" t="s">
        <v>74</v>
      </c>
      <c r="G51" s="16">
        <v>1917</v>
      </c>
      <c r="H51" s="16">
        <v>0.04</v>
      </c>
      <c r="I51" s="117">
        <f t="shared" si="0"/>
        <v>76.68</v>
      </c>
    </row>
    <row r="52" customHeight="1" spans="1:9">
      <c r="A52" s="13"/>
      <c r="B52" s="14"/>
      <c r="C52" s="14"/>
      <c r="D52" s="15"/>
      <c r="E52" s="14"/>
      <c r="F52" s="14" t="s">
        <v>57</v>
      </c>
      <c r="G52" s="16">
        <v>1917</v>
      </c>
      <c r="H52" s="16">
        <v>0.24</v>
      </c>
      <c r="I52" s="117">
        <f t="shared" si="0"/>
        <v>460.08</v>
      </c>
    </row>
    <row r="53" customHeight="1" spans="1:9">
      <c r="A53" s="118">
        <v>45785</v>
      </c>
      <c r="B53" s="123" t="s">
        <v>10</v>
      </c>
      <c r="C53" s="123" t="s">
        <v>296</v>
      </c>
      <c r="D53" s="124" t="s">
        <v>297</v>
      </c>
      <c r="E53" s="36" t="s">
        <v>298</v>
      </c>
      <c r="F53" s="14" t="s">
        <v>14</v>
      </c>
      <c r="G53" s="52">
        <v>22597</v>
      </c>
      <c r="H53" s="16">
        <v>0.21</v>
      </c>
      <c r="I53" s="122">
        <f t="shared" si="0"/>
        <v>4745.37</v>
      </c>
    </row>
    <row r="54" customHeight="1" spans="1:9">
      <c r="A54" s="125"/>
      <c r="B54" s="126"/>
      <c r="C54" s="126"/>
      <c r="D54" s="127"/>
      <c r="E54" s="42"/>
      <c r="F54" s="16" t="s">
        <v>15</v>
      </c>
      <c r="G54" s="52">
        <v>22597</v>
      </c>
      <c r="H54" s="16">
        <v>0.08</v>
      </c>
      <c r="I54" s="122">
        <f t="shared" si="0"/>
        <v>1807.76</v>
      </c>
    </row>
    <row r="55" customHeight="1" spans="1:9">
      <c r="A55" s="13"/>
      <c r="B55" s="14"/>
      <c r="C55" s="14"/>
      <c r="D55" s="15"/>
      <c r="E55" s="14"/>
      <c r="F55" s="14" t="s">
        <v>63</v>
      </c>
      <c r="G55" s="16">
        <f>31500*5</f>
        <v>157500</v>
      </c>
      <c r="H55" s="16">
        <v>0.04</v>
      </c>
      <c r="I55" s="122">
        <f t="shared" si="0"/>
        <v>6300</v>
      </c>
    </row>
    <row r="56" customHeight="1" spans="1:9">
      <c r="A56" s="120"/>
      <c r="B56" s="128"/>
      <c r="C56" s="128"/>
      <c r="D56" s="129"/>
      <c r="E56" s="46"/>
      <c r="F56" s="14" t="s">
        <v>299</v>
      </c>
      <c r="G56" s="52">
        <v>31500</v>
      </c>
      <c r="H56" s="16">
        <v>0.08</v>
      </c>
      <c r="I56" s="122">
        <f t="shared" si="0"/>
        <v>2520</v>
      </c>
    </row>
    <row r="57" customHeight="1" spans="1:9">
      <c r="A57" s="13">
        <v>45787</v>
      </c>
      <c r="B57" s="14" t="s">
        <v>10</v>
      </c>
      <c r="C57" s="14" t="s">
        <v>244</v>
      </c>
      <c r="D57" s="15" t="s">
        <v>300</v>
      </c>
      <c r="E57" s="14" t="s">
        <v>301</v>
      </c>
      <c r="F57" s="14" t="s">
        <v>302</v>
      </c>
      <c r="G57" s="16">
        <v>1500</v>
      </c>
      <c r="H57" s="16">
        <v>0.04</v>
      </c>
      <c r="I57" s="117">
        <f t="shared" si="0"/>
        <v>60</v>
      </c>
    </row>
    <row r="58" customHeight="1" spans="1:9">
      <c r="A58" s="13">
        <v>45789</v>
      </c>
      <c r="B58" s="14" t="s">
        <v>10</v>
      </c>
      <c r="C58" s="14">
        <v>25352</v>
      </c>
      <c r="D58" s="15" t="s">
        <v>303</v>
      </c>
      <c r="E58" s="14" t="s">
        <v>304</v>
      </c>
      <c r="F58" s="14" t="s">
        <v>14</v>
      </c>
      <c r="G58" s="16">
        <v>26250</v>
      </c>
      <c r="H58" s="16">
        <v>0.21</v>
      </c>
      <c r="I58" s="122">
        <f t="shared" si="0"/>
        <v>5512.5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26250</v>
      </c>
      <c r="H59" s="16">
        <v>0.08</v>
      </c>
      <c r="I59" s="122">
        <f t="shared" si="0"/>
        <v>2100</v>
      </c>
    </row>
    <row r="60" customHeight="1" spans="1:9">
      <c r="A60" s="13"/>
      <c r="B60" s="14"/>
      <c r="C60" s="14"/>
      <c r="D60" s="15"/>
      <c r="E60" s="14"/>
      <c r="F60" s="16" t="s">
        <v>16</v>
      </c>
      <c r="G60" s="16">
        <f>26250*4</f>
        <v>105000</v>
      </c>
      <c r="H60" s="16">
        <v>0.04</v>
      </c>
      <c r="I60" s="122">
        <f t="shared" si="0"/>
        <v>4200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26250</v>
      </c>
      <c r="H61" s="16">
        <v>0.12</v>
      </c>
      <c r="I61" s="122">
        <f t="shared" si="0"/>
        <v>3150</v>
      </c>
    </row>
    <row r="62" customHeight="1" spans="1:9">
      <c r="A62" s="13">
        <v>45789</v>
      </c>
      <c r="B62" s="14" t="s">
        <v>10</v>
      </c>
      <c r="C62" s="14">
        <v>25300</v>
      </c>
      <c r="D62" s="15" t="s">
        <v>305</v>
      </c>
      <c r="E62" s="14" t="s">
        <v>306</v>
      </c>
      <c r="F62" s="14" t="s">
        <v>14</v>
      </c>
      <c r="G62" s="16">
        <v>21000</v>
      </c>
      <c r="H62" s="16">
        <v>0.21</v>
      </c>
      <c r="I62" s="122">
        <f t="shared" si="0"/>
        <v>4410</v>
      </c>
    </row>
    <row r="63" customHeight="1" spans="1:9">
      <c r="A63" s="13"/>
      <c r="B63" s="14"/>
      <c r="C63" s="14"/>
      <c r="D63" s="15"/>
      <c r="E63" s="14"/>
      <c r="F63" s="16" t="s">
        <v>15</v>
      </c>
      <c r="G63" s="16">
        <v>21000</v>
      </c>
      <c r="H63" s="16">
        <v>0.08</v>
      </c>
      <c r="I63" s="122">
        <f t="shared" si="0"/>
        <v>1680</v>
      </c>
    </row>
    <row r="64" customHeight="1" spans="1:9">
      <c r="A64" s="13"/>
      <c r="B64" s="14"/>
      <c r="C64" s="14"/>
      <c r="D64" s="15"/>
      <c r="E64" s="14"/>
      <c r="F64" s="16" t="s">
        <v>28</v>
      </c>
      <c r="G64" s="16">
        <f>21000*4</f>
        <v>84000</v>
      </c>
      <c r="H64" s="16">
        <v>0.04</v>
      </c>
      <c r="I64" s="122">
        <f t="shared" si="0"/>
        <v>3360</v>
      </c>
    </row>
    <row r="65" customHeight="1" spans="1:10">
      <c r="A65" s="13"/>
      <c r="B65" s="14"/>
      <c r="C65" s="14"/>
      <c r="D65" s="15"/>
      <c r="E65" s="14"/>
      <c r="F65" s="14" t="s">
        <v>17</v>
      </c>
      <c r="G65" s="16">
        <v>21000</v>
      </c>
      <c r="H65" s="16">
        <v>0.12</v>
      </c>
      <c r="I65" s="122">
        <f t="shared" si="0"/>
        <v>2520</v>
      </c>
    </row>
    <row r="66" customHeight="1" spans="1:10">
      <c r="A66" s="13">
        <v>45789</v>
      </c>
      <c r="B66" s="14" t="s">
        <v>10</v>
      </c>
      <c r="C66" s="14">
        <v>25336</v>
      </c>
      <c r="D66" s="15" t="s">
        <v>307</v>
      </c>
      <c r="E66" s="14" t="s">
        <v>308</v>
      </c>
      <c r="F66" s="14" t="s">
        <v>14</v>
      </c>
      <c r="G66" s="16">
        <v>5250</v>
      </c>
      <c r="H66" s="16">
        <v>0.21</v>
      </c>
      <c r="I66" s="122">
        <f t="shared" si="0"/>
        <v>1102.5</v>
      </c>
    </row>
    <row r="67" customHeight="1" spans="1:10">
      <c r="A67" s="13"/>
      <c r="B67" s="14"/>
      <c r="C67" s="14"/>
      <c r="D67" s="15"/>
      <c r="E67" s="14"/>
      <c r="F67" s="16" t="s">
        <v>15</v>
      </c>
      <c r="G67" s="16">
        <v>5250</v>
      </c>
      <c r="H67" s="16">
        <v>0.08</v>
      </c>
      <c r="I67" s="122">
        <f t="shared" ref="I67:I77" si="1">G67*H67</f>
        <v>420</v>
      </c>
    </row>
    <row r="68" customHeight="1" spans="1:10">
      <c r="A68" s="13"/>
      <c r="B68" s="14"/>
      <c r="C68" s="14"/>
      <c r="D68" s="15"/>
      <c r="E68" s="14"/>
      <c r="F68" s="16" t="s">
        <v>28</v>
      </c>
      <c r="G68" s="16">
        <f>5250*4</f>
        <v>21000</v>
      </c>
      <c r="H68" s="16">
        <v>0.04</v>
      </c>
      <c r="I68" s="122">
        <f t="shared" si="1"/>
        <v>840</v>
      </c>
    </row>
    <row r="69" customHeight="1" spans="1:10">
      <c r="A69" s="13"/>
      <c r="B69" s="14"/>
      <c r="C69" s="14"/>
      <c r="D69" s="15"/>
      <c r="E69" s="14"/>
      <c r="F69" s="14" t="s">
        <v>17</v>
      </c>
      <c r="G69" s="16">
        <v>5250</v>
      </c>
      <c r="H69" s="16">
        <v>0.12</v>
      </c>
      <c r="I69" s="122">
        <f t="shared" si="1"/>
        <v>630</v>
      </c>
    </row>
    <row r="70" customHeight="1" spans="1:10">
      <c r="A70" s="13">
        <v>45789</v>
      </c>
      <c r="B70" s="14" t="s">
        <v>10</v>
      </c>
      <c r="C70" s="14" t="s">
        <v>309</v>
      </c>
      <c r="D70" s="15" t="s">
        <v>310</v>
      </c>
      <c r="E70" s="14" t="s">
        <v>311</v>
      </c>
      <c r="F70" s="14" t="s">
        <v>14</v>
      </c>
      <c r="G70" s="16">
        <v>31500</v>
      </c>
      <c r="H70" s="16">
        <v>0.21</v>
      </c>
      <c r="I70" s="122">
        <f t="shared" si="1"/>
        <v>6615</v>
      </c>
    </row>
    <row r="71" customHeight="1" spans="1:10">
      <c r="A71" s="13"/>
      <c r="B71" s="14"/>
      <c r="C71" s="14"/>
      <c r="D71" s="15"/>
      <c r="E71" s="14"/>
      <c r="F71" s="16" t="s">
        <v>15</v>
      </c>
      <c r="G71" s="16">
        <v>31500</v>
      </c>
      <c r="H71" s="16">
        <v>0.08</v>
      </c>
      <c r="I71" s="122">
        <f t="shared" si="1"/>
        <v>2520</v>
      </c>
    </row>
    <row r="72" customHeight="1" spans="1:10">
      <c r="A72" s="13"/>
      <c r="B72" s="14"/>
      <c r="C72" s="14"/>
      <c r="D72" s="15"/>
      <c r="E72" s="14"/>
      <c r="F72" s="16" t="s">
        <v>25</v>
      </c>
      <c r="G72" s="16">
        <f>31500*5</f>
        <v>157500</v>
      </c>
      <c r="H72" s="16">
        <v>0.04</v>
      </c>
      <c r="I72" s="122">
        <f t="shared" si="1"/>
        <v>6300</v>
      </c>
    </row>
    <row r="73" customHeight="1" spans="1:10">
      <c r="A73" s="13"/>
      <c r="B73" s="14"/>
      <c r="C73" s="14"/>
      <c r="D73" s="15"/>
      <c r="E73" s="14"/>
      <c r="F73" s="14" t="s">
        <v>17</v>
      </c>
      <c r="G73" s="16">
        <v>31500</v>
      </c>
      <c r="H73" s="16">
        <v>0.12</v>
      </c>
      <c r="I73" s="122">
        <f t="shared" si="1"/>
        <v>3780</v>
      </c>
    </row>
    <row r="74" customHeight="1" spans="1:10">
      <c r="A74" s="13">
        <v>45793</v>
      </c>
      <c r="B74" s="14" t="s">
        <v>10</v>
      </c>
      <c r="C74" s="14">
        <v>25975</v>
      </c>
      <c r="D74" s="15" t="s">
        <v>312</v>
      </c>
      <c r="E74" s="14" t="s">
        <v>313</v>
      </c>
      <c r="F74" s="14" t="s">
        <v>14</v>
      </c>
      <c r="G74" s="16">
        <v>31500</v>
      </c>
      <c r="H74" s="16">
        <v>0.21</v>
      </c>
      <c r="I74" s="122">
        <f t="shared" si="1"/>
        <v>6615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31500</v>
      </c>
      <c r="H75" s="16">
        <v>0.08</v>
      </c>
      <c r="I75" s="122">
        <f t="shared" si="1"/>
        <v>2520</v>
      </c>
    </row>
    <row r="76" customHeight="1" spans="1:10">
      <c r="A76" s="13"/>
      <c r="B76" s="14"/>
      <c r="C76" s="14"/>
      <c r="D76" s="15"/>
      <c r="E76" s="14"/>
      <c r="F76" s="16" t="s">
        <v>25</v>
      </c>
      <c r="G76" s="16">
        <f>31500*5</f>
        <v>157500</v>
      </c>
      <c r="H76" s="16">
        <v>0.04</v>
      </c>
      <c r="I76" s="122">
        <f t="shared" si="1"/>
        <v>6300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31500</v>
      </c>
      <c r="H77" s="16">
        <v>0.12</v>
      </c>
      <c r="I77" s="122">
        <f t="shared" si="1"/>
        <v>3780</v>
      </c>
    </row>
    <row r="78" customHeight="1" spans="1:10">
      <c r="I78" s="97">
        <f>SUM(I3:I77)</f>
        <v>370021.73</v>
      </c>
      <c r="J78" s="1">
        <f>110928.9841-61800.032</f>
        <v>49128.9521</v>
      </c>
    </row>
    <row r="79" customHeight="1" spans="1:10">
      <c r="I79" s="95">
        <f>-J78</f>
        <v>-49128.9521</v>
      </c>
      <c r="J79" s="1" t="s">
        <v>314</v>
      </c>
    </row>
    <row r="80" customHeight="1" spans="1:10">
      <c r="I80" s="95">
        <f>I78+I79</f>
        <v>320892.7779</v>
      </c>
    </row>
    <row r="81" customHeight="1" spans="1:12">
      <c r="I81" s="97">
        <v>-230423.67</v>
      </c>
      <c r="J81" s="1" t="s">
        <v>315</v>
      </c>
      <c r="L81" s="95"/>
    </row>
    <row r="82" customHeight="1" spans="1:12">
      <c r="I82" s="95">
        <f>I80+I81</f>
        <v>90469.1079</v>
      </c>
      <c r="J82" s="130" t="s">
        <v>252</v>
      </c>
    </row>
    <row r="83" spans="1:12">
      <c r="F83" s="1"/>
      <c r="G83" s="1"/>
      <c r="H83" s="1"/>
    </row>
    <row r="84" customHeight="1" spans="1:12">
      <c r="F84" s="1"/>
      <c r="G84" s="1"/>
      <c r="H84" s="1"/>
      <c r="I84" s="1"/>
    </row>
    <row r="85" customHeight="1" spans="1:12">
      <c r="F85" s="1"/>
      <c r="G85" s="1"/>
      <c r="H85" s="1"/>
      <c r="I85" s="1"/>
    </row>
    <row r="86" spans="1:12">
      <c r="F86" s="1"/>
      <c r="G86" s="1"/>
      <c r="H86" s="1"/>
      <c r="I86" s="1"/>
    </row>
    <row r="87" spans="1:12">
      <c r="F87" s="1"/>
      <c r="G87" s="1"/>
      <c r="H87" s="1"/>
      <c r="I87" s="1"/>
    </row>
    <row r="88" spans="1:12">
      <c r="F88" s="1"/>
      <c r="G88" s="1"/>
      <c r="H88" s="1"/>
      <c r="I88" s="1"/>
    </row>
    <row r="89" ht="28.5" spans="1:12">
      <c r="A89" s="131" t="s">
        <v>132</v>
      </c>
      <c r="B89" s="131"/>
      <c r="C89" s="131"/>
      <c r="D89" s="131"/>
      <c r="E89" s="131"/>
      <c r="F89" s="131"/>
      <c r="G89" s="131"/>
      <c r="H89" s="131"/>
      <c r="I89" s="131"/>
      <c r="J89" s="131"/>
    </row>
    <row r="90" ht="14.5" spans="1:12">
      <c r="A90" s="132" t="s">
        <v>133</v>
      </c>
      <c r="B90" s="132" t="s">
        <v>134</v>
      </c>
      <c r="C90" s="132" t="s">
        <v>135</v>
      </c>
      <c r="D90" s="132" t="s">
        <v>136</v>
      </c>
      <c r="E90" s="132" t="s">
        <v>137</v>
      </c>
      <c r="F90" s="133" t="s">
        <v>138</v>
      </c>
      <c r="G90" s="132" t="s">
        <v>139</v>
      </c>
      <c r="H90" s="132" t="s">
        <v>140</v>
      </c>
      <c r="I90" s="132" t="s">
        <v>141</v>
      </c>
      <c r="J90" s="132" t="s">
        <v>142</v>
      </c>
    </row>
    <row r="91" ht="28.5" spans="1:12">
      <c r="A91" s="132"/>
      <c r="B91" s="132"/>
      <c r="C91" s="132"/>
      <c r="D91" s="132" t="s">
        <v>143</v>
      </c>
      <c r="E91" s="132"/>
      <c r="F91" s="133" t="s">
        <v>144</v>
      </c>
      <c r="G91" s="132"/>
      <c r="H91" s="132"/>
      <c r="I91" s="134" t="s">
        <v>145</v>
      </c>
      <c r="J91" s="132"/>
    </row>
    <row r="92" spans="1:12">
      <c r="A92" s="135">
        <v>1</v>
      </c>
      <c r="B92" s="136">
        <v>46035</v>
      </c>
      <c r="C92" s="137" t="s">
        <v>146</v>
      </c>
      <c r="D92" s="137" t="s">
        <v>147</v>
      </c>
      <c r="E92" s="132" t="s">
        <v>148</v>
      </c>
      <c r="F92" s="132"/>
      <c r="G92" s="132" t="s">
        <v>316</v>
      </c>
      <c r="H92" s="132">
        <v>38213</v>
      </c>
      <c r="I92" s="138">
        <v>7342.14</v>
      </c>
      <c r="J92" s="132"/>
      <c r="K92" s="1">
        <v>3978.93</v>
      </c>
    </row>
    <row r="93" spans="1:12">
      <c r="A93" s="139"/>
      <c r="B93" s="140"/>
      <c r="C93" s="141"/>
      <c r="D93" s="141"/>
      <c r="E93" s="132" t="s">
        <v>151</v>
      </c>
      <c r="F93" s="132"/>
      <c r="G93" s="132" t="s">
        <v>317</v>
      </c>
      <c r="H93" s="132">
        <v>16150</v>
      </c>
      <c r="I93" s="142"/>
      <c r="J93" s="132"/>
      <c r="K93" s="1">
        <v>3363.21</v>
      </c>
    </row>
    <row r="94" spans="1:12">
      <c r="A94" s="135">
        <v>1</v>
      </c>
      <c r="B94" s="136">
        <v>46035</v>
      </c>
      <c r="C94" s="137" t="s">
        <v>146</v>
      </c>
      <c r="D94" s="137" t="s">
        <v>147</v>
      </c>
      <c r="E94" s="132" t="s">
        <v>148</v>
      </c>
      <c r="F94" s="132"/>
      <c r="G94" s="132" t="s">
        <v>316</v>
      </c>
      <c r="H94" s="132">
        <v>26850</v>
      </c>
      <c r="I94" s="138">
        <v>45390.41</v>
      </c>
      <c r="J94" s="132"/>
      <c r="K94" s="1">
        <v>2795.73</v>
      </c>
    </row>
    <row r="95" spans="1:12">
      <c r="A95" s="143"/>
      <c r="B95" s="144"/>
      <c r="C95" s="145"/>
      <c r="D95" s="145"/>
      <c r="E95" s="132" t="s">
        <v>150</v>
      </c>
      <c r="F95" s="132"/>
      <c r="G95" s="132" t="s">
        <v>317</v>
      </c>
      <c r="H95" s="132">
        <v>21840</v>
      </c>
      <c r="I95" s="146"/>
      <c r="J95" s="132"/>
      <c r="K95" s="1">
        <v>4548.14</v>
      </c>
    </row>
    <row r="96" spans="1:12">
      <c r="A96" s="139"/>
      <c r="B96" s="140"/>
      <c r="C96" s="141"/>
      <c r="D96" s="141"/>
      <c r="E96" s="132" t="s">
        <v>151</v>
      </c>
      <c r="F96" s="132"/>
      <c r="G96" s="132" t="s">
        <v>317</v>
      </c>
      <c r="H96" s="132">
        <v>182698</v>
      </c>
      <c r="I96" s="142"/>
      <c r="J96" s="132"/>
      <c r="K96" s="1">
        <v>38046.54</v>
      </c>
    </row>
    <row r="97" spans="1:11">
      <c r="A97" s="135">
        <v>1</v>
      </c>
      <c r="B97" s="136">
        <v>46035</v>
      </c>
      <c r="C97" s="137" t="s">
        <v>146</v>
      </c>
      <c r="D97" s="137" t="s">
        <v>147</v>
      </c>
      <c r="E97" s="132" t="s">
        <v>148</v>
      </c>
      <c r="F97" s="132"/>
      <c r="G97" s="132" t="s">
        <v>316</v>
      </c>
      <c r="H97" s="132">
        <v>44420</v>
      </c>
      <c r="I97" s="138">
        <v>27457.53</v>
      </c>
      <c r="J97" s="132"/>
      <c r="K97" s="1">
        <v>4625.19</v>
      </c>
    </row>
    <row r="98" spans="1:11">
      <c r="A98" s="143"/>
      <c r="B98" s="144"/>
      <c r="C98" s="145"/>
      <c r="D98" s="145"/>
      <c r="E98" s="132" t="s">
        <v>150</v>
      </c>
      <c r="F98" s="132"/>
      <c r="G98" s="132" t="s">
        <v>317</v>
      </c>
      <c r="H98" s="132">
        <v>30860</v>
      </c>
      <c r="I98" s="146"/>
      <c r="J98" s="132"/>
      <c r="K98" s="1">
        <v>6426.54</v>
      </c>
    </row>
    <row r="99" spans="1:11">
      <c r="A99" s="139"/>
      <c r="B99" s="140"/>
      <c r="C99" s="141"/>
      <c r="D99" s="141"/>
      <c r="E99" s="132" t="s">
        <v>151</v>
      </c>
      <c r="F99" s="132"/>
      <c r="G99" s="132" t="s">
        <v>317</v>
      </c>
      <c r="H99" s="132">
        <v>78780</v>
      </c>
      <c r="I99" s="142"/>
      <c r="J99" s="132"/>
      <c r="K99" s="1">
        <v>16405.8</v>
      </c>
    </row>
    <row r="100" spans="1:11">
      <c r="A100" s="135">
        <v>1</v>
      </c>
      <c r="B100" s="136">
        <v>46035</v>
      </c>
      <c r="C100" s="137" t="s">
        <v>146</v>
      </c>
      <c r="D100" s="137" t="s">
        <v>147</v>
      </c>
      <c r="E100" s="132" t="s">
        <v>150</v>
      </c>
      <c r="F100" s="132"/>
      <c r="G100" s="132" t="s">
        <v>317</v>
      </c>
      <c r="H100" s="132">
        <v>38213</v>
      </c>
      <c r="I100" s="138">
        <v>24799.45</v>
      </c>
      <c r="J100" s="132"/>
      <c r="K100" s="1">
        <v>7890.08</v>
      </c>
    </row>
    <row r="101" spans="1:11">
      <c r="A101" s="143"/>
      <c r="B101" s="144"/>
      <c r="C101" s="145"/>
      <c r="D101" s="145"/>
      <c r="E101" s="132" t="s">
        <v>151</v>
      </c>
      <c r="F101" s="132"/>
      <c r="G101" s="132" t="s">
        <v>317</v>
      </c>
      <c r="H101" s="132">
        <v>81895</v>
      </c>
      <c r="I101" s="146"/>
      <c r="J101" s="132"/>
      <c r="K101" s="1">
        <v>16909.37</v>
      </c>
    </row>
    <row r="102" customHeight="1" spans="1:11">
      <c r="A102" s="135">
        <v>1</v>
      </c>
      <c r="B102" s="136">
        <v>46035</v>
      </c>
      <c r="C102" s="137" t="s">
        <v>146</v>
      </c>
      <c r="D102" s="137" t="s">
        <v>147</v>
      </c>
      <c r="E102" s="132" t="s">
        <v>148</v>
      </c>
      <c r="F102" s="132"/>
      <c r="G102" s="132" t="s">
        <v>316</v>
      </c>
      <c r="H102" s="132">
        <v>52978</v>
      </c>
      <c r="I102" s="138">
        <v>27346.75</v>
      </c>
      <c r="J102" s="132"/>
      <c r="K102" s="1">
        <v>5469.35</v>
      </c>
    </row>
    <row r="103" customHeight="1" spans="1:11">
      <c r="A103" s="143"/>
      <c r="B103" s="144"/>
      <c r="C103" s="145"/>
      <c r="D103" s="145"/>
      <c r="E103" s="132" t="s">
        <v>150</v>
      </c>
      <c r="F103" s="132"/>
      <c r="G103" s="132" t="s">
        <v>317</v>
      </c>
      <c r="H103" s="132">
        <v>52978</v>
      </c>
      <c r="I103" s="146"/>
      <c r="J103" s="132"/>
      <c r="K103" s="1">
        <v>10938.7</v>
      </c>
    </row>
    <row r="104" customHeight="1" spans="1:11">
      <c r="A104" s="139"/>
      <c r="B104" s="140"/>
      <c r="C104" s="141"/>
      <c r="D104" s="141"/>
      <c r="E104" s="132" t="s">
        <v>151</v>
      </c>
      <c r="F104" s="132"/>
      <c r="G104" s="132" t="s">
        <v>317</v>
      </c>
      <c r="H104" s="132">
        <v>52978</v>
      </c>
      <c r="I104" s="142"/>
      <c r="J104" s="132"/>
      <c r="K104" s="1">
        <v>10938.7</v>
      </c>
    </row>
    <row r="105" customHeight="1" spans="1:11">
      <c r="F105" s="1"/>
      <c r="G105" s="1"/>
      <c r="H105" s="1"/>
      <c r="I105" s="1">
        <f>SUM(I92:I104)</f>
        <v>132336.28</v>
      </c>
    </row>
    <row r="106" customHeight="1" spans="1:11">
      <c r="F106" s="1"/>
      <c r="G106" s="1"/>
      <c r="H106" s="1"/>
      <c r="I106" s="1"/>
      <c r="K106" s="1" t="s">
        <v>318</v>
      </c>
    </row>
    <row r="107" customHeight="1" spans="1:11">
      <c r="F107" s="1"/>
      <c r="G107" s="1"/>
      <c r="H107" s="1"/>
      <c r="I107" s="1"/>
      <c r="J107" s="1">
        <v>132355.64</v>
      </c>
      <c r="K107" s="1">
        <f>I105-J107</f>
        <v>-19.3600000000151</v>
      </c>
    </row>
    <row r="108" customHeight="1" spans="1:11">
      <c r="F108" s="1"/>
      <c r="G108" s="1"/>
      <c r="H108" s="1"/>
      <c r="I108" s="1"/>
    </row>
    <row r="109" customHeight="1" spans="1:11">
      <c r="F109" s="1"/>
      <c r="G109" s="1"/>
      <c r="H109" s="1"/>
      <c r="I109" s="1"/>
    </row>
    <row r="110" customHeight="1" spans="1:11">
      <c r="F110" s="1"/>
      <c r="G110" s="1"/>
      <c r="H110" s="1"/>
      <c r="I110" s="1" t="s">
        <v>319</v>
      </c>
      <c r="J110" s="1">
        <v>38.53</v>
      </c>
    </row>
  </sheetData>
  <autoFilter xmlns:etc="http://www.wps.cn/officeDocument/2017/etCustomData" ref="A1:I82" etc:filterBottomFollowUsedRange="0">
    <extLst/>
  </autoFilter>
  <mergeCells count="124">
    <mergeCell ref="A1:I1"/>
    <mergeCell ref="A89:J89"/>
    <mergeCell ref="A3:A8"/>
    <mergeCell ref="A9:A13"/>
    <mergeCell ref="A16:A19"/>
    <mergeCell ref="A20:A21"/>
    <mergeCell ref="A22:A25"/>
    <mergeCell ref="A26:A29"/>
    <mergeCell ref="A30:A33"/>
    <mergeCell ref="A34:A35"/>
    <mergeCell ref="A36:A40"/>
    <mergeCell ref="A41:A44"/>
    <mergeCell ref="A45:A48"/>
    <mergeCell ref="A49:A52"/>
    <mergeCell ref="A53:A56"/>
    <mergeCell ref="A58:A61"/>
    <mergeCell ref="A62:A65"/>
    <mergeCell ref="A66:A69"/>
    <mergeCell ref="A70:A73"/>
    <mergeCell ref="A74:A77"/>
    <mergeCell ref="A90:A91"/>
    <mergeCell ref="A92:A93"/>
    <mergeCell ref="A94:A96"/>
    <mergeCell ref="A97:A99"/>
    <mergeCell ref="A100:A101"/>
    <mergeCell ref="A102:A104"/>
    <mergeCell ref="B3:B8"/>
    <mergeCell ref="B9:B13"/>
    <mergeCell ref="B16:B19"/>
    <mergeCell ref="B20:B21"/>
    <mergeCell ref="B22:B25"/>
    <mergeCell ref="B26:B29"/>
    <mergeCell ref="B30:B33"/>
    <mergeCell ref="B34:B35"/>
    <mergeCell ref="B36:B40"/>
    <mergeCell ref="B41:B44"/>
    <mergeCell ref="B45:B48"/>
    <mergeCell ref="B49:B52"/>
    <mergeCell ref="B53:B56"/>
    <mergeCell ref="B58:B61"/>
    <mergeCell ref="B62:B65"/>
    <mergeCell ref="B66:B69"/>
    <mergeCell ref="B70:B73"/>
    <mergeCell ref="B74:B77"/>
    <mergeCell ref="B90:B91"/>
    <mergeCell ref="B92:B93"/>
    <mergeCell ref="B94:B96"/>
    <mergeCell ref="B97:B99"/>
    <mergeCell ref="B100:B101"/>
    <mergeCell ref="B102:B104"/>
    <mergeCell ref="C3:C8"/>
    <mergeCell ref="C9:C13"/>
    <mergeCell ref="C16:C19"/>
    <mergeCell ref="C20:C21"/>
    <mergeCell ref="C22:C25"/>
    <mergeCell ref="C26:C29"/>
    <mergeCell ref="C30:C33"/>
    <mergeCell ref="C34:C35"/>
    <mergeCell ref="C36:C40"/>
    <mergeCell ref="C41:C44"/>
    <mergeCell ref="C45:C48"/>
    <mergeCell ref="C49:C52"/>
    <mergeCell ref="C53:C56"/>
    <mergeCell ref="C58:C61"/>
    <mergeCell ref="C62:C65"/>
    <mergeCell ref="C66:C69"/>
    <mergeCell ref="C70:C73"/>
    <mergeCell ref="C74:C77"/>
    <mergeCell ref="C90:C91"/>
    <mergeCell ref="C92:C93"/>
    <mergeCell ref="C94:C96"/>
    <mergeCell ref="C97:C99"/>
    <mergeCell ref="C100:C101"/>
    <mergeCell ref="C102:C104"/>
    <mergeCell ref="D3:D8"/>
    <mergeCell ref="D9:D13"/>
    <mergeCell ref="D16:D19"/>
    <mergeCell ref="D20:D21"/>
    <mergeCell ref="D22:D25"/>
    <mergeCell ref="D26:D29"/>
    <mergeCell ref="D30:D33"/>
    <mergeCell ref="D34:D35"/>
    <mergeCell ref="D36:D40"/>
    <mergeCell ref="D41:D44"/>
    <mergeCell ref="D45:D48"/>
    <mergeCell ref="D49:D52"/>
    <mergeCell ref="D53:D56"/>
    <mergeCell ref="D58:D61"/>
    <mergeCell ref="D62:D65"/>
    <mergeCell ref="D66:D69"/>
    <mergeCell ref="D70:D73"/>
    <mergeCell ref="D74:D77"/>
    <mergeCell ref="D92:D93"/>
    <mergeCell ref="D94:D96"/>
    <mergeCell ref="D97:D99"/>
    <mergeCell ref="D100:D101"/>
    <mergeCell ref="D102:D104"/>
    <mergeCell ref="E3:E8"/>
    <mergeCell ref="E9:E13"/>
    <mergeCell ref="E16:E19"/>
    <mergeCell ref="E20:E21"/>
    <mergeCell ref="E22:E25"/>
    <mergeCell ref="E26:E29"/>
    <mergeCell ref="E30:E33"/>
    <mergeCell ref="E34:E35"/>
    <mergeCell ref="E36:E40"/>
    <mergeCell ref="E41:E44"/>
    <mergeCell ref="E45:E48"/>
    <mergeCell ref="E49:E52"/>
    <mergeCell ref="E53:E56"/>
    <mergeCell ref="E58:E61"/>
    <mergeCell ref="E62:E65"/>
    <mergeCell ref="E66:E69"/>
    <mergeCell ref="E70:E73"/>
    <mergeCell ref="E74:E77"/>
    <mergeCell ref="E90:E91"/>
    <mergeCell ref="G90:G91"/>
    <mergeCell ref="H90:H91"/>
    <mergeCell ref="I92:I93"/>
    <mergeCell ref="I94:I96"/>
    <mergeCell ref="I97:I99"/>
    <mergeCell ref="I100:I101"/>
    <mergeCell ref="I102:I104"/>
    <mergeCell ref="J90:J91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workbookViewId="0">
      <selection activeCell="I16" sqref="I3:I14 I16:I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12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12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12">
      <c r="A3" s="33">
        <v>45786</v>
      </c>
      <c r="B3" s="98" t="s">
        <v>10</v>
      </c>
      <c r="C3" s="99" t="s">
        <v>320</v>
      </c>
      <c r="D3" s="100" t="s">
        <v>321</v>
      </c>
      <c r="E3" s="101" t="s">
        <v>322</v>
      </c>
      <c r="F3" s="14" t="s">
        <v>14</v>
      </c>
      <c r="G3" s="102">
        <v>15750</v>
      </c>
      <c r="H3" s="17">
        <v>0.21</v>
      </c>
      <c r="I3" s="103">
        <f t="shared" ref="I3:I66" si="0">G3*H3</f>
        <v>3307.5</v>
      </c>
    </row>
    <row r="4" customHeight="1" spans="1:12">
      <c r="A4" s="39"/>
      <c r="B4" s="104"/>
      <c r="C4" s="105"/>
      <c r="D4" s="106"/>
      <c r="E4" s="107"/>
      <c r="F4" s="14" t="s">
        <v>154</v>
      </c>
      <c r="G4" s="102">
        <f>249+376+425+249+376+425</f>
        <v>2100</v>
      </c>
      <c r="H4" s="17">
        <v>0.2</v>
      </c>
      <c r="I4" s="103">
        <f t="shared" si="0"/>
        <v>420</v>
      </c>
    </row>
    <row r="5" customHeight="1" spans="1:12">
      <c r="A5" s="39"/>
      <c r="B5" s="104"/>
      <c r="C5" s="105"/>
      <c r="D5" s="106"/>
      <c r="E5" s="107"/>
      <c r="F5" s="16" t="s">
        <v>15</v>
      </c>
      <c r="G5" s="102">
        <v>15750</v>
      </c>
      <c r="H5" s="17">
        <v>0.08</v>
      </c>
      <c r="I5" s="103">
        <f t="shared" si="0"/>
        <v>1260</v>
      </c>
    </row>
    <row r="6" customHeight="1" spans="1:12">
      <c r="A6" s="39"/>
      <c r="B6" s="108"/>
      <c r="C6" s="109"/>
      <c r="D6" s="110"/>
      <c r="E6" s="107"/>
      <c r="F6" s="14" t="s">
        <v>14</v>
      </c>
      <c r="G6" s="102">
        <v>15750</v>
      </c>
      <c r="H6" s="17">
        <v>0.21</v>
      </c>
      <c r="I6" s="103">
        <f t="shared" si="0"/>
        <v>3307.5</v>
      </c>
    </row>
    <row r="7" customHeight="1" spans="1:12">
      <c r="A7" s="39"/>
      <c r="B7" s="108"/>
      <c r="C7" s="109"/>
      <c r="D7" s="110"/>
      <c r="E7" s="107"/>
      <c r="F7" s="16" t="s">
        <v>15</v>
      </c>
      <c r="G7" s="102">
        <v>15750</v>
      </c>
      <c r="H7" s="17">
        <v>0.08</v>
      </c>
      <c r="I7" s="103">
        <f t="shared" si="0"/>
        <v>1260</v>
      </c>
    </row>
    <row r="8" customHeight="1" spans="1:12">
      <c r="A8" s="19"/>
      <c r="B8" s="20"/>
      <c r="C8" s="55"/>
      <c r="D8" s="22"/>
      <c r="E8" s="21"/>
      <c r="F8" s="14" t="s">
        <v>63</v>
      </c>
      <c r="G8" s="17">
        <f>31500*5</f>
        <v>157500</v>
      </c>
      <c r="H8" s="17">
        <v>0.04</v>
      </c>
      <c r="I8" s="103">
        <f t="shared" si="0"/>
        <v>6300</v>
      </c>
    </row>
    <row r="9" customHeight="1" spans="1:12">
      <c r="A9" s="43"/>
      <c r="B9" s="111"/>
      <c r="C9" s="112"/>
      <c r="D9" s="113"/>
      <c r="E9" s="114"/>
      <c r="F9" s="14" t="s">
        <v>299</v>
      </c>
      <c r="G9" s="102">
        <v>31500</v>
      </c>
      <c r="H9" s="17">
        <v>0.08</v>
      </c>
      <c r="I9" s="103">
        <f t="shared" si="0"/>
        <v>2520</v>
      </c>
    </row>
    <row r="10" customHeight="1" spans="1:12">
      <c r="A10" s="19">
        <v>45790</v>
      </c>
      <c r="B10" s="20" t="s">
        <v>10</v>
      </c>
      <c r="C10" s="20">
        <v>25354</v>
      </c>
      <c r="D10" s="22" t="s">
        <v>323</v>
      </c>
      <c r="E10" s="21" t="s">
        <v>324</v>
      </c>
      <c r="F10" s="14" t="s">
        <v>161</v>
      </c>
      <c r="G10" s="17">
        <v>5250</v>
      </c>
      <c r="H10" s="17">
        <v>0.21</v>
      </c>
      <c r="I10" s="103">
        <f t="shared" si="0"/>
        <v>1102.5</v>
      </c>
    </row>
    <row r="11" customHeight="1" spans="1:12">
      <c r="A11" s="19"/>
      <c r="B11" s="20"/>
      <c r="C11" s="20"/>
      <c r="D11" s="22"/>
      <c r="E11" s="20"/>
      <c r="F11" s="16" t="s">
        <v>15</v>
      </c>
      <c r="G11" s="17">
        <v>5250</v>
      </c>
      <c r="H11" s="17">
        <v>0.08</v>
      </c>
      <c r="I11" s="103">
        <f t="shared" si="0"/>
        <v>420</v>
      </c>
    </row>
    <row r="12" customHeight="1" spans="1:12">
      <c r="A12" s="19"/>
      <c r="B12" s="115"/>
      <c r="C12" s="20"/>
      <c r="D12" s="22"/>
      <c r="E12" s="20"/>
      <c r="F12" s="16" t="s">
        <v>259</v>
      </c>
      <c r="G12" s="17">
        <v>5250</v>
      </c>
      <c r="H12" s="17">
        <v>0.58</v>
      </c>
      <c r="I12" s="103">
        <f t="shared" si="0"/>
        <v>3045</v>
      </c>
    </row>
    <row r="13" customHeight="1" spans="1:12">
      <c r="A13" s="19"/>
      <c r="B13" s="115"/>
      <c r="C13" s="20"/>
      <c r="D13" s="22"/>
      <c r="E13" s="20"/>
      <c r="F13" s="16" t="s">
        <v>325</v>
      </c>
      <c r="G13" s="17">
        <f>5*5+10</f>
        <v>35</v>
      </c>
      <c r="H13" s="17">
        <v>0</v>
      </c>
      <c r="I13" s="103">
        <f t="shared" si="0"/>
        <v>0</v>
      </c>
    </row>
    <row r="14" customHeight="1" spans="1:12">
      <c r="A14" s="19"/>
      <c r="B14" s="115"/>
      <c r="C14" s="20"/>
      <c r="D14" s="22"/>
      <c r="E14" s="20"/>
      <c r="F14" s="16" t="s">
        <v>63</v>
      </c>
      <c r="G14" s="16">
        <f>5250*5</f>
        <v>26250</v>
      </c>
      <c r="H14" s="16">
        <v>0.04</v>
      </c>
      <c r="I14" s="103">
        <f t="shared" si="0"/>
        <v>1050</v>
      </c>
    </row>
    <row r="15" customHeight="1" spans="1:12">
      <c r="A15" s="19"/>
      <c r="B15" s="115"/>
      <c r="C15" s="20"/>
      <c r="D15" s="22"/>
      <c r="E15" s="20"/>
      <c r="F15" s="14" t="s">
        <v>57</v>
      </c>
      <c r="G15" s="17">
        <v>5250</v>
      </c>
      <c r="H15" s="17">
        <v>0.24</v>
      </c>
      <c r="I15" s="17">
        <f t="shared" si="0"/>
        <v>1260</v>
      </c>
    </row>
    <row r="16" customHeight="1" spans="1:12">
      <c r="A16" s="19">
        <v>45798</v>
      </c>
      <c r="B16" s="20" t="s">
        <v>10</v>
      </c>
      <c r="C16" s="20" t="s">
        <v>326</v>
      </c>
      <c r="D16" s="22" t="s">
        <v>327</v>
      </c>
      <c r="E16" s="21" t="s">
        <v>328</v>
      </c>
      <c r="F16" s="14" t="s">
        <v>14</v>
      </c>
      <c r="G16" s="17">
        <v>24428</v>
      </c>
      <c r="H16" s="16">
        <v>0.21</v>
      </c>
      <c r="I16" s="103">
        <f t="shared" si="0"/>
        <v>5129.88</v>
      </c>
      <c r="L16" s="1">
        <v>41867.1721</v>
      </c>
    </row>
    <row r="17" customHeight="1" spans="1:9">
      <c r="A17" s="19"/>
      <c r="B17" s="20"/>
      <c r="C17" s="20"/>
      <c r="D17" s="22"/>
      <c r="E17" s="20"/>
      <c r="F17" s="16" t="s">
        <v>15</v>
      </c>
      <c r="G17" s="17">
        <v>24428</v>
      </c>
      <c r="H17" s="16">
        <v>0.08</v>
      </c>
      <c r="I17" s="103">
        <f t="shared" si="0"/>
        <v>1954.24</v>
      </c>
    </row>
    <row r="18" customHeight="1" spans="1:9">
      <c r="A18" s="19"/>
      <c r="B18" s="20"/>
      <c r="C18" s="20"/>
      <c r="D18" s="22"/>
      <c r="E18" s="20"/>
      <c r="F18" s="16" t="s">
        <v>25</v>
      </c>
      <c r="G18" s="17">
        <f>24428*5</f>
        <v>122140</v>
      </c>
      <c r="H18" s="16">
        <v>0.04</v>
      </c>
      <c r="I18" s="103">
        <f t="shared" si="0"/>
        <v>4885.6</v>
      </c>
    </row>
    <row r="19" customHeight="1" spans="1:9">
      <c r="A19" s="19"/>
      <c r="B19" s="20"/>
      <c r="C19" s="20"/>
      <c r="D19" s="22"/>
      <c r="E19" s="20"/>
      <c r="F19" s="14" t="s">
        <v>57</v>
      </c>
      <c r="G19" s="17">
        <v>24428</v>
      </c>
      <c r="H19" s="16">
        <v>0.24</v>
      </c>
      <c r="I19" s="103">
        <f t="shared" si="0"/>
        <v>5862.72</v>
      </c>
    </row>
    <row r="20" customHeight="1" spans="1:9">
      <c r="A20" s="19">
        <v>45798</v>
      </c>
      <c r="B20" s="20" t="s">
        <v>10</v>
      </c>
      <c r="C20" s="20" t="s">
        <v>329</v>
      </c>
      <c r="D20" s="22" t="s">
        <v>330</v>
      </c>
      <c r="E20" s="21" t="s">
        <v>331</v>
      </c>
      <c r="F20" s="14" t="s">
        <v>14</v>
      </c>
      <c r="G20" s="17">
        <v>10500</v>
      </c>
      <c r="H20" s="17">
        <v>0.21</v>
      </c>
      <c r="I20" s="17">
        <f t="shared" si="0"/>
        <v>2205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10500</v>
      </c>
      <c r="H21" s="17">
        <v>0.08</v>
      </c>
      <c r="I21" s="17">
        <f t="shared" si="0"/>
        <v>840</v>
      </c>
    </row>
    <row r="22" customHeight="1" spans="1:9">
      <c r="A22" s="19"/>
      <c r="B22" s="20"/>
      <c r="C22" s="20"/>
      <c r="D22" s="22"/>
      <c r="E22" s="20"/>
      <c r="F22" s="16" t="s">
        <v>332</v>
      </c>
      <c r="G22" s="16">
        <f>10500*5</f>
        <v>52500</v>
      </c>
      <c r="H22" s="16">
        <v>0.04</v>
      </c>
      <c r="I22" s="17">
        <f t="shared" si="0"/>
        <v>2100</v>
      </c>
    </row>
    <row r="23" customHeight="1" spans="1:9">
      <c r="A23" s="19"/>
      <c r="B23" s="20"/>
      <c r="C23" s="20"/>
      <c r="D23" s="22"/>
      <c r="E23" s="20"/>
      <c r="F23" s="14" t="s">
        <v>57</v>
      </c>
      <c r="G23" s="17">
        <v>10500</v>
      </c>
      <c r="H23" s="17">
        <v>0.24</v>
      </c>
      <c r="I23" s="17">
        <f t="shared" si="0"/>
        <v>2520</v>
      </c>
    </row>
    <row r="24" customHeight="1" spans="1:9">
      <c r="A24" s="13">
        <v>45801</v>
      </c>
      <c r="B24" s="14" t="s">
        <v>10</v>
      </c>
      <c r="C24" s="14">
        <v>25336</v>
      </c>
      <c r="D24" s="15" t="s">
        <v>333</v>
      </c>
      <c r="E24" s="14" t="s">
        <v>334</v>
      </c>
      <c r="F24" s="14" t="s">
        <v>14</v>
      </c>
      <c r="G24" s="16">
        <f>1543+490+724</f>
        <v>2757</v>
      </c>
      <c r="H24" s="16">
        <v>0.21</v>
      </c>
      <c r="I24" s="17">
        <f t="shared" si="0"/>
        <v>578.97</v>
      </c>
    </row>
    <row r="25" customHeight="1" spans="1:9">
      <c r="A25" s="13"/>
      <c r="B25" s="14"/>
      <c r="C25" s="14"/>
      <c r="D25" s="15"/>
      <c r="E25" s="14"/>
      <c r="F25" s="16" t="s">
        <v>74</v>
      </c>
      <c r="G25" s="16">
        <f>1543+490+724</f>
        <v>2757</v>
      </c>
      <c r="H25" s="16">
        <v>0.04</v>
      </c>
      <c r="I25" s="17">
        <f t="shared" si="0"/>
        <v>110.28</v>
      </c>
    </row>
    <row r="26" customHeight="1" spans="1:9">
      <c r="A26" s="13"/>
      <c r="B26" s="14"/>
      <c r="C26" s="14"/>
      <c r="D26" s="15"/>
      <c r="E26" s="14"/>
      <c r="F26" s="14" t="s">
        <v>17</v>
      </c>
      <c r="G26" s="16">
        <f>1543+490+724</f>
        <v>2757</v>
      </c>
      <c r="H26" s="16">
        <v>0.12</v>
      </c>
      <c r="I26" s="17">
        <f t="shared" si="0"/>
        <v>330.84</v>
      </c>
    </row>
    <row r="27" customHeight="1" spans="1:9">
      <c r="A27" s="13">
        <v>45801</v>
      </c>
      <c r="B27" s="14" t="s">
        <v>10</v>
      </c>
      <c r="C27" s="14">
        <v>26145</v>
      </c>
      <c r="D27" s="15" t="s">
        <v>335</v>
      </c>
      <c r="E27" s="14" t="s">
        <v>336</v>
      </c>
      <c r="F27" s="14" t="s">
        <v>14</v>
      </c>
      <c r="G27" s="16">
        <v>63000</v>
      </c>
      <c r="H27" s="16">
        <v>0.21</v>
      </c>
      <c r="I27" s="17">
        <f t="shared" si="0"/>
        <v>13230</v>
      </c>
    </row>
    <row r="28" customHeight="1" spans="1:9">
      <c r="A28" s="13"/>
      <c r="B28" s="14"/>
      <c r="C28" s="14"/>
      <c r="D28" s="15"/>
      <c r="E28" s="14"/>
      <c r="F28" s="16" t="s">
        <v>15</v>
      </c>
      <c r="G28" s="16">
        <v>63000</v>
      </c>
      <c r="H28" s="16">
        <v>0.08</v>
      </c>
      <c r="I28" s="17">
        <f t="shared" si="0"/>
        <v>5040</v>
      </c>
    </row>
    <row r="29" customHeight="1" spans="1:9">
      <c r="A29" s="13"/>
      <c r="B29" s="14"/>
      <c r="C29" s="14"/>
      <c r="D29" s="15"/>
      <c r="E29" s="14"/>
      <c r="F29" s="16" t="s">
        <v>28</v>
      </c>
      <c r="G29" s="16">
        <f>63000*4</f>
        <v>252000</v>
      </c>
      <c r="H29" s="16">
        <v>0.04</v>
      </c>
      <c r="I29" s="17">
        <f t="shared" si="0"/>
        <v>10080</v>
      </c>
    </row>
    <row r="30" customHeight="1" spans="1:9">
      <c r="A30" s="13"/>
      <c r="B30" s="14"/>
      <c r="C30" s="14"/>
      <c r="D30" s="15"/>
      <c r="E30" s="14"/>
      <c r="F30" s="14" t="s">
        <v>17</v>
      </c>
      <c r="G30" s="16">
        <v>63000</v>
      </c>
      <c r="H30" s="16">
        <v>0.12</v>
      </c>
      <c r="I30" s="17">
        <f t="shared" si="0"/>
        <v>7560</v>
      </c>
    </row>
    <row r="31" customHeight="1" spans="1:9">
      <c r="A31" s="19">
        <v>45806</v>
      </c>
      <c r="B31" s="20" t="s">
        <v>10</v>
      </c>
      <c r="C31" s="21" t="s">
        <v>337</v>
      </c>
      <c r="D31" s="22" t="s">
        <v>338</v>
      </c>
      <c r="E31" s="21" t="s">
        <v>339</v>
      </c>
      <c r="F31" s="14" t="s">
        <v>14</v>
      </c>
      <c r="G31" s="17">
        <v>18625</v>
      </c>
      <c r="H31" s="17">
        <v>0.21</v>
      </c>
      <c r="I31" s="17">
        <f t="shared" si="0"/>
        <v>3911.25</v>
      </c>
    </row>
    <row r="32" customHeight="1" spans="1:9">
      <c r="A32" s="19"/>
      <c r="B32" s="20"/>
      <c r="C32" s="20"/>
      <c r="D32" s="22"/>
      <c r="E32" s="20"/>
      <c r="F32" s="16" t="s">
        <v>15</v>
      </c>
      <c r="G32" s="17">
        <v>18625</v>
      </c>
      <c r="H32" s="17">
        <v>0.08</v>
      </c>
      <c r="I32" s="17">
        <f t="shared" si="0"/>
        <v>1490</v>
      </c>
    </row>
    <row r="33" customHeight="1" spans="1:9">
      <c r="A33" s="19"/>
      <c r="B33" s="20"/>
      <c r="C33" s="20"/>
      <c r="D33" s="22"/>
      <c r="E33" s="20"/>
      <c r="F33" s="16" t="s">
        <v>63</v>
      </c>
      <c r="G33" s="16">
        <f>18625*5</f>
        <v>93125</v>
      </c>
      <c r="H33" s="16">
        <v>0.04</v>
      </c>
      <c r="I33" s="17">
        <f t="shared" si="0"/>
        <v>3725</v>
      </c>
    </row>
    <row r="34" customHeight="1" spans="1:9">
      <c r="A34" s="19"/>
      <c r="B34" s="20"/>
      <c r="C34" s="20"/>
      <c r="D34" s="22"/>
      <c r="E34" s="20"/>
      <c r="F34" s="14" t="s">
        <v>57</v>
      </c>
      <c r="G34" s="17">
        <v>18625</v>
      </c>
      <c r="H34" s="17">
        <v>0.24</v>
      </c>
      <c r="I34" s="17">
        <f t="shared" si="0"/>
        <v>4470</v>
      </c>
    </row>
    <row r="35" customHeight="1" spans="1:9">
      <c r="A35" s="19">
        <v>45806</v>
      </c>
      <c r="B35" s="20" t="s">
        <v>10</v>
      </c>
      <c r="C35" s="14" t="s">
        <v>340</v>
      </c>
      <c r="D35" s="22" t="s">
        <v>341</v>
      </c>
      <c r="E35" s="21" t="s">
        <v>342</v>
      </c>
      <c r="F35" s="14" t="s">
        <v>14</v>
      </c>
      <c r="G35" s="17">
        <v>6446</v>
      </c>
      <c r="H35" s="16">
        <v>0.21</v>
      </c>
      <c r="I35" s="17">
        <f t="shared" si="0"/>
        <v>1353.66</v>
      </c>
    </row>
    <row r="36" customHeight="1" spans="1:9">
      <c r="A36" s="19"/>
      <c r="B36" s="20"/>
      <c r="C36" s="30"/>
      <c r="D36" s="22"/>
      <c r="E36" s="20"/>
      <c r="F36" s="16" t="s">
        <v>15</v>
      </c>
      <c r="G36" s="17">
        <v>6446</v>
      </c>
      <c r="H36" s="16">
        <v>0.08</v>
      </c>
      <c r="I36" s="17">
        <f t="shared" si="0"/>
        <v>515.68</v>
      </c>
    </row>
    <row r="37" customHeight="1" spans="1:9">
      <c r="A37" s="19"/>
      <c r="B37" s="20"/>
      <c r="C37" s="30"/>
      <c r="D37" s="22"/>
      <c r="E37" s="20"/>
      <c r="F37" s="16" t="s">
        <v>25</v>
      </c>
      <c r="G37" s="17">
        <f>6446*5</f>
        <v>32230</v>
      </c>
      <c r="H37" s="16">
        <v>0.04</v>
      </c>
      <c r="I37" s="17">
        <f t="shared" si="0"/>
        <v>1289.2</v>
      </c>
    </row>
    <row r="38" customHeight="1" spans="1:9">
      <c r="A38" s="19"/>
      <c r="B38" s="20"/>
      <c r="C38" s="30"/>
      <c r="D38" s="22"/>
      <c r="E38" s="20"/>
      <c r="F38" s="14" t="s">
        <v>57</v>
      </c>
      <c r="G38" s="17">
        <v>6446</v>
      </c>
      <c r="H38" s="16">
        <v>0.24</v>
      </c>
      <c r="I38" s="17">
        <f t="shared" si="0"/>
        <v>1547.04</v>
      </c>
    </row>
    <row r="39" customHeight="1" spans="1:9">
      <c r="A39" s="19">
        <v>45806</v>
      </c>
      <c r="B39" s="20" t="s">
        <v>10</v>
      </c>
      <c r="C39" s="20"/>
      <c r="D39" s="22" t="s">
        <v>343</v>
      </c>
      <c r="E39" s="21" t="s">
        <v>344</v>
      </c>
      <c r="F39" s="14" t="s">
        <v>259</v>
      </c>
      <c r="G39" s="17">
        <v>200000</v>
      </c>
      <c r="H39" s="17">
        <v>0.58</v>
      </c>
      <c r="I39" s="17">
        <f t="shared" si="0"/>
        <v>116000</v>
      </c>
    </row>
    <row r="40" customHeight="1" spans="1:9">
      <c r="A40" s="13">
        <v>45807</v>
      </c>
      <c r="B40" s="14" t="s">
        <v>10</v>
      </c>
      <c r="C40" s="14">
        <v>26257</v>
      </c>
      <c r="D40" s="15" t="s">
        <v>345</v>
      </c>
      <c r="E40" s="14" t="s">
        <v>346</v>
      </c>
      <c r="F40" s="14" t="s">
        <v>14</v>
      </c>
      <c r="G40" s="16">
        <v>31500</v>
      </c>
      <c r="H40" s="16">
        <v>0.21</v>
      </c>
      <c r="I40" s="17">
        <f t="shared" si="0"/>
        <v>6615</v>
      </c>
    </row>
    <row r="41" customHeight="1" spans="1:9">
      <c r="A41" s="13"/>
      <c r="B41" s="14"/>
      <c r="C41" s="14"/>
      <c r="D41" s="15"/>
      <c r="E41" s="14"/>
      <c r="F41" s="16" t="s">
        <v>15</v>
      </c>
      <c r="G41" s="16">
        <v>31500</v>
      </c>
      <c r="H41" s="16">
        <v>0.08</v>
      </c>
      <c r="I41" s="17">
        <f t="shared" si="0"/>
        <v>2520</v>
      </c>
    </row>
    <row r="42" customHeight="1" spans="1:9">
      <c r="A42" s="13"/>
      <c r="B42" s="14"/>
      <c r="C42" s="14"/>
      <c r="D42" s="15"/>
      <c r="E42" s="14"/>
      <c r="F42" s="16" t="s">
        <v>28</v>
      </c>
      <c r="G42" s="16">
        <f>31500*4</f>
        <v>126000</v>
      </c>
      <c r="H42" s="16">
        <v>0.04</v>
      </c>
      <c r="I42" s="17">
        <f t="shared" si="0"/>
        <v>5040</v>
      </c>
    </row>
    <row r="43" customHeight="1" spans="1:9">
      <c r="A43" s="13"/>
      <c r="B43" s="14"/>
      <c r="C43" s="14"/>
      <c r="D43" s="15"/>
      <c r="E43" s="14"/>
      <c r="F43" s="14" t="s">
        <v>17</v>
      </c>
      <c r="G43" s="16">
        <v>31500</v>
      </c>
      <c r="H43" s="16">
        <v>0.12</v>
      </c>
      <c r="I43" s="17">
        <f t="shared" si="0"/>
        <v>3780</v>
      </c>
    </row>
    <row r="44" customHeight="1" spans="1:9">
      <c r="A44" s="13">
        <v>45807</v>
      </c>
      <c r="B44" s="14" t="s">
        <v>10</v>
      </c>
      <c r="C44" s="14" t="s">
        <v>347</v>
      </c>
      <c r="D44" s="15" t="s">
        <v>348</v>
      </c>
      <c r="E44" s="116" t="s">
        <v>349</v>
      </c>
      <c r="F44" s="14" t="s">
        <v>14</v>
      </c>
      <c r="G44" s="16">
        <v>66150</v>
      </c>
      <c r="H44" s="16">
        <v>0.21</v>
      </c>
      <c r="I44" s="17">
        <f t="shared" si="0"/>
        <v>13891.5</v>
      </c>
    </row>
    <row r="45" customHeight="1" spans="1:9">
      <c r="A45" s="13"/>
      <c r="B45" s="14"/>
      <c r="C45" s="14"/>
      <c r="D45" s="15"/>
      <c r="E45" s="116"/>
      <c r="F45" s="16" t="s">
        <v>15</v>
      </c>
      <c r="G45" s="16">
        <v>66150</v>
      </c>
      <c r="H45" s="16">
        <v>0.08</v>
      </c>
      <c r="I45" s="17">
        <f t="shared" si="0"/>
        <v>5292</v>
      </c>
    </row>
    <row r="46" customHeight="1" spans="1:9">
      <c r="A46" s="13"/>
      <c r="B46" s="14"/>
      <c r="C46" s="14"/>
      <c r="D46" s="15"/>
      <c r="E46" s="116"/>
      <c r="F46" s="16" t="s">
        <v>28</v>
      </c>
      <c r="G46" s="16">
        <f>66150*4</f>
        <v>264600</v>
      </c>
      <c r="H46" s="16">
        <v>0.04</v>
      </c>
      <c r="I46" s="17">
        <f t="shared" si="0"/>
        <v>10584</v>
      </c>
    </row>
    <row r="47" customHeight="1" spans="1:9">
      <c r="A47" s="13"/>
      <c r="B47" s="14"/>
      <c r="C47" s="14"/>
      <c r="D47" s="15"/>
      <c r="E47" s="116"/>
      <c r="F47" s="14" t="s">
        <v>17</v>
      </c>
      <c r="G47" s="16">
        <v>66150</v>
      </c>
      <c r="H47" s="16">
        <v>0.12</v>
      </c>
      <c r="I47" s="17">
        <f t="shared" si="0"/>
        <v>7938</v>
      </c>
    </row>
    <row r="48" customHeight="1" spans="1:9">
      <c r="A48" s="19">
        <v>45807</v>
      </c>
      <c r="B48" s="20" t="s">
        <v>10</v>
      </c>
      <c r="C48" s="20">
        <v>80151</v>
      </c>
      <c r="D48" s="22" t="s">
        <v>350</v>
      </c>
      <c r="E48" s="21" t="s">
        <v>351</v>
      </c>
      <c r="F48" s="14" t="s">
        <v>259</v>
      </c>
      <c r="G48" s="17">
        <v>6300</v>
      </c>
      <c r="H48" s="17">
        <v>0.58</v>
      </c>
      <c r="I48" s="17">
        <f t="shared" si="0"/>
        <v>3654</v>
      </c>
    </row>
    <row r="49" customHeight="1" spans="1:9">
      <c r="A49" s="19"/>
      <c r="B49" s="20"/>
      <c r="C49" s="20"/>
      <c r="D49" s="22"/>
      <c r="E49" s="21"/>
      <c r="F49" s="14" t="s">
        <v>325</v>
      </c>
      <c r="G49" s="17">
        <v>50</v>
      </c>
      <c r="H49" s="17">
        <v>0</v>
      </c>
      <c r="I49" s="17">
        <f t="shared" si="0"/>
        <v>0</v>
      </c>
    </row>
    <row r="50" customHeight="1" spans="1:9">
      <c r="A50" s="13">
        <v>45813</v>
      </c>
      <c r="B50" s="14" t="s">
        <v>10</v>
      </c>
      <c r="C50" s="14" t="s">
        <v>352</v>
      </c>
      <c r="D50" s="15" t="s">
        <v>353</v>
      </c>
      <c r="E50" s="14" t="s">
        <v>354</v>
      </c>
      <c r="F50" s="14" t="s">
        <v>14</v>
      </c>
      <c r="G50" s="17">
        <v>26332</v>
      </c>
      <c r="H50" s="17">
        <v>0.21</v>
      </c>
      <c r="I50" s="17">
        <f t="shared" si="0"/>
        <v>5529.72</v>
      </c>
    </row>
    <row r="51" customHeight="1" spans="1:9">
      <c r="A51" s="13"/>
      <c r="B51" s="14"/>
      <c r="C51" s="30"/>
      <c r="D51" s="15"/>
      <c r="E51" s="14"/>
      <c r="F51" s="16" t="s">
        <v>15</v>
      </c>
      <c r="G51" s="17">
        <v>26332</v>
      </c>
      <c r="H51" s="17">
        <v>0.08</v>
      </c>
      <c r="I51" s="17">
        <f t="shared" si="0"/>
        <v>2106.56</v>
      </c>
    </row>
    <row r="52" customHeight="1" spans="1:9">
      <c r="A52" s="13"/>
      <c r="B52" s="14"/>
      <c r="C52" s="30"/>
      <c r="D52" s="15"/>
      <c r="E52" s="14"/>
      <c r="F52" s="16" t="s">
        <v>63</v>
      </c>
      <c r="G52" s="16">
        <f>26332*5</f>
        <v>131660</v>
      </c>
      <c r="H52" s="16">
        <v>0.04</v>
      </c>
      <c r="I52" s="17">
        <f t="shared" si="0"/>
        <v>5266.4</v>
      </c>
    </row>
    <row r="53" customHeight="1" spans="1:9">
      <c r="A53" s="13"/>
      <c r="B53" s="14"/>
      <c r="C53" s="30"/>
      <c r="D53" s="15"/>
      <c r="E53" s="14"/>
      <c r="F53" s="14" t="s">
        <v>57</v>
      </c>
      <c r="G53" s="17">
        <v>26332</v>
      </c>
      <c r="H53" s="17">
        <v>0.24</v>
      </c>
      <c r="I53" s="17">
        <f t="shared" si="0"/>
        <v>6319.68</v>
      </c>
    </row>
    <row r="54" customHeight="1" spans="1:9">
      <c r="A54" s="19">
        <v>45813</v>
      </c>
      <c r="B54" s="20" t="s">
        <v>10</v>
      </c>
      <c r="C54" s="14" t="s">
        <v>355</v>
      </c>
      <c r="D54" s="22" t="s">
        <v>356</v>
      </c>
      <c r="E54" s="21" t="s">
        <v>357</v>
      </c>
      <c r="F54" s="14" t="s">
        <v>14</v>
      </c>
      <c r="G54" s="17">
        <v>13851</v>
      </c>
      <c r="H54" s="17">
        <v>0.21</v>
      </c>
      <c r="I54" s="17">
        <f t="shared" si="0"/>
        <v>2908.71</v>
      </c>
    </row>
    <row r="55" customHeight="1" spans="1:9">
      <c r="A55" s="19"/>
      <c r="B55" s="20"/>
      <c r="C55" s="30"/>
      <c r="D55" s="22"/>
      <c r="E55" s="20"/>
      <c r="F55" s="16" t="s">
        <v>15</v>
      </c>
      <c r="G55" s="17">
        <v>13851</v>
      </c>
      <c r="H55" s="17">
        <v>0.08</v>
      </c>
      <c r="I55" s="17">
        <f t="shared" si="0"/>
        <v>1108.08</v>
      </c>
    </row>
    <row r="56" customHeight="1" spans="1:9">
      <c r="A56" s="19"/>
      <c r="B56" s="20"/>
      <c r="C56" s="30"/>
      <c r="D56" s="22"/>
      <c r="E56" s="20"/>
      <c r="F56" s="16" t="s">
        <v>25</v>
      </c>
      <c r="G56" s="17">
        <f>13851*5</f>
        <v>69255</v>
      </c>
      <c r="H56" s="17">
        <v>0.04</v>
      </c>
      <c r="I56" s="17">
        <f t="shared" si="0"/>
        <v>2770.2</v>
      </c>
    </row>
    <row r="57" customHeight="1" spans="1:9">
      <c r="A57" s="19"/>
      <c r="B57" s="20"/>
      <c r="C57" s="30"/>
      <c r="D57" s="22"/>
      <c r="E57" s="20"/>
      <c r="F57" s="14" t="s">
        <v>57</v>
      </c>
      <c r="G57" s="17">
        <v>13851</v>
      </c>
      <c r="H57" s="17">
        <v>0.24</v>
      </c>
      <c r="I57" s="17">
        <f t="shared" si="0"/>
        <v>3324.24</v>
      </c>
    </row>
    <row r="58" customHeight="1" spans="1:9">
      <c r="A58" s="13">
        <v>45815</v>
      </c>
      <c r="B58" s="14" t="s">
        <v>10</v>
      </c>
      <c r="C58" s="14">
        <v>82439</v>
      </c>
      <c r="D58" s="15" t="s">
        <v>358</v>
      </c>
      <c r="E58" s="14" t="s">
        <v>359</v>
      </c>
      <c r="F58" s="14" t="s">
        <v>14</v>
      </c>
      <c r="G58" s="16">
        <v>47254</v>
      </c>
      <c r="H58" s="16">
        <v>0.21</v>
      </c>
      <c r="I58" s="17">
        <f t="shared" si="0"/>
        <v>9923.34</v>
      </c>
    </row>
    <row r="59" customHeight="1" spans="1:9">
      <c r="A59" s="13"/>
      <c r="B59" s="14"/>
      <c r="C59" s="14"/>
      <c r="D59" s="15"/>
      <c r="E59" s="14"/>
      <c r="F59" s="16" t="s">
        <v>15</v>
      </c>
      <c r="G59" s="16">
        <v>47254</v>
      </c>
      <c r="H59" s="16">
        <v>0.08</v>
      </c>
      <c r="I59" s="17">
        <f t="shared" si="0"/>
        <v>3780.32</v>
      </c>
    </row>
    <row r="60" customHeight="1" spans="1:9">
      <c r="A60" s="13"/>
      <c r="B60" s="14"/>
      <c r="C60" s="14"/>
      <c r="D60" s="15"/>
      <c r="E60" s="14"/>
      <c r="F60" s="16" t="s">
        <v>28</v>
      </c>
      <c r="G60" s="16">
        <f>47254*4</f>
        <v>189016</v>
      </c>
      <c r="H60" s="16">
        <v>0.04</v>
      </c>
      <c r="I60" s="17">
        <f t="shared" si="0"/>
        <v>7560.64</v>
      </c>
    </row>
    <row r="61" customHeight="1" spans="1:9">
      <c r="A61" s="13"/>
      <c r="B61" s="14"/>
      <c r="C61" s="14"/>
      <c r="D61" s="15"/>
      <c r="E61" s="14"/>
      <c r="F61" s="14" t="s">
        <v>17</v>
      </c>
      <c r="G61" s="16">
        <v>47254</v>
      </c>
      <c r="H61" s="16">
        <v>0.12</v>
      </c>
      <c r="I61" s="17">
        <f t="shared" si="0"/>
        <v>5670.48</v>
      </c>
    </row>
    <row r="62" customHeight="1" spans="1:9">
      <c r="A62" s="19">
        <v>45816</v>
      </c>
      <c r="B62" s="20" t="s">
        <v>10</v>
      </c>
      <c r="C62" s="14">
        <v>82480</v>
      </c>
      <c r="D62" s="22" t="s">
        <v>360</v>
      </c>
      <c r="E62" s="21" t="s">
        <v>361</v>
      </c>
      <c r="F62" s="14" t="s">
        <v>362</v>
      </c>
      <c r="G62" s="17">
        <v>44980</v>
      </c>
      <c r="H62" s="17">
        <v>0.21</v>
      </c>
      <c r="I62" s="17">
        <f t="shared" si="0"/>
        <v>9445.8</v>
      </c>
    </row>
    <row r="63" customHeight="1" spans="1:9">
      <c r="A63" s="19"/>
      <c r="B63" s="20"/>
      <c r="C63" s="14"/>
      <c r="D63" s="22"/>
      <c r="E63" s="20"/>
      <c r="F63" s="16" t="s">
        <v>15</v>
      </c>
      <c r="G63" s="17">
        <v>44980</v>
      </c>
      <c r="H63" s="17">
        <v>0.08</v>
      </c>
      <c r="I63" s="17">
        <f t="shared" si="0"/>
        <v>3598.4</v>
      </c>
    </row>
    <row r="64" customHeight="1" spans="1:9">
      <c r="A64" s="19"/>
      <c r="B64" s="20"/>
      <c r="C64" s="14"/>
      <c r="D64" s="22"/>
      <c r="E64" s="20"/>
      <c r="F64" s="16" t="s">
        <v>363</v>
      </c>
      <c r="G64" s="17">
        <f>G63*4</f>
        <v>179920</v>
      </c>
      <c r="H64" s="17">
        <v>0.04</v>
      </c>
      <c r="I64" s="17">
        <f t="shared" si="0"/>
        <v>7196.8</v>
      </c>
    </row>
    <row r="65" customHeight="1" spans="1:10">
      <c r="A65" s="19"/>
      <c r="B65" s="20"/>
      <c r="C65" s="14"/>
      <c r="D65" s="22"/>
      <c r="E65" s="20"/>
      <c r="F65" s="14" t="s">
        <v>364</v>
      </c>
      <c r="G65" s="17">
        <v>44980</v>
      </c>
      <c r="H65" s="17">
        <v>0.12</v>
      </c>
      <c r="I65" s="17">
        <f t="shared" si="0"/>
        <v>5397.6</v>
      </c>
    </row>
    <row r="66" customHeight="1" spans="1:10">
      <c r="A66" s="19"/>
      <c r="B66" s="20"/>
      <c r="C66" s="14"/>
      <c r="D66" s="22"/>
      <c r="E66" s="20"/>
      <c r="F66" s="16" t="s">
        <v>365</v>
      </c>
      <c r="G66" s="17">
        <v>44980</v>
      </c>
      <c r="H66" s="17">
        <v>0.58</v>
      </c>
      <c r="I66" s="17">
        <f t="shared" si="0"/>
        <v>26088.4</v>
      </c>
    </row>
    <row r="67" customHeight="1" spans="1:10">
      <c r="A67" s="19"/>
      <c r="B67" s="20"/>
      <c r="C67" s="14"/>
      <c r="D67" s="22"/>
      <c r="E67" s="20"/>
      <c r="F67" s="14" t="s">
        <v>325</v>
      </c>
      <c r="G67" s="17">
        <f>2*5*10+10</f>
        <v>110</v>
      </c>
      <c r="H67" s="17">
        <v>0</v>
      </c>
      <c r="I67" s="17">
        <f t="shared" ref="I67:I77" si="1">G67*H67</f>
        <v>0</v>
      </c>
    </row>
    <row r="68" customHeight="1" spans="1:10">
      <c r="A68" s="19">
        <v>45816</v>
      </c>
      <c r="B68" s="20" t="s">
        <v>10</v>
      </c>
      <c r="C68" s="14" t="s">
        <v>366</v>
      </c>
      <c r="D68" s="22" t="s">
        <v>367</v>
      </c>
      <c r="E68" s="21" t="s">
        <v>368</v>
      </c>
      <c r="F68" s="14" t="s">
        <v>362</v>
      </c>
      <c r="G68" s="17">
        <v>48196</v>
      </c>
      <c r="H68" s="17">
        <v>0.21</v>
      </c>
      <c r="I68" s="17">
        <f t="shared" si="1"/>
        <v>10121.16</v>
      </c>
    </row>
    <row r="69" customHeight="1" spans="1:10">
      <c r="A69" s="19"/>
      <c r="B69" s="20"/>
      <c r="C69" s="30"/>
      <c r="D69" s="22"/>
      <c r="E69" s="20"/>
      <c r="F69" s="16" t="s">
        <v>15</v>
      </c>
      <c r="G69" s="17">
        <v>48196</v>
      </c>
      <c r="H69" s="17">
        <v>0.08</v>
      </c>
      <c r="I69" s="17">
        <f t="shared" si="1"/>
        <v>3855.68</v>
      </c>
    </row>
    <row r="70" customHeight="1" spans="1:10">
      <c r="A70" s="19"/>
      <c r="B70" s="20"/>
      <c r="C70" s="30"/>
      <c r="D70" s="22"/>
      <c r="E70" s="20"/>
      <c r="F70" s="16" t="s">
        <v>363</v>
      </c>
      <c r="G70" s="17">
        <f>48196*4</f>
        <v>192784</v>
      </c>
      <c r="H70" s="17">
        <v>0.04</v>
      </c>
      <c r="I70" s="17">
        <f t="shared" si="1"/>
        <v>7711.36</v>
      </c>
    </row>
    <row r="71" customHeight="1" spans="1:10">
      <c r="A71" s="19"/>
      <c r="B71" s="20"/>
      <c r="C71" s="30"/>
      <c r="D71" s="22"/>
      <c r="E71" s="20"/>
      <c r="F71" s="14" t="s">
        <v>364</v>
      </c>
      <c r="G71" s="17">
        <v>48196</v>
      </c>
      <c r="H71" s="17">
        <v>0.12</v>
      </c>
      <c r="I71" s="17">
        <f t="shared" si="1"/>
        <v>5783.52</v>
      </c>
    </row>
    <row r="72" customHeight="1" spans="1:10">
      <c r="A72" s="19"/>
      <c r="B72" s="20"/>
      <c r="C72" s="30"/>
      <c r="D72" s="22"/>
      <c r="E72" s="20"/>
      <c r="F72" s="16" t="s">
        <v>365</v>
      </c>
      <c r="G72" s="17">
        <v>48196</v>
      </c>
      <c r="H72" s="17">
        <v>0.58</v>
      </c>
      <c r="I72" s="17">
        <f t="shared" si="1"/>
        <v>27953.68</v>
      </c>
    </row>
    <row r="73" customHeight="1" spans="1:10">
      <c r="A73" s="19"/>
      <c r="B73" s="20"/>
      <c r="C73" s="30"/>
      <c r="D73" s="22"/>
      <c r="E73" s="20"/>
      <c r="F73" s="14" t="s">
        <v>325</v>
      </c>
      <c r="G73" s="17">
        <f>2*5*10+10</f>
        <v>110</v>
      </c>
      <c r="H73" s="17">
        <v>0</v>
      </c>
      <c r="I73" s="17">
        <f t="shared" si="1"/>
        <v>0</v>
      </c>
    </row>
    <row r="74" customHeight="1" spans="1:10">
      <c r="A74" s="13">
        <v>45821</v>
      </c>
      <c r="B74" s="14" t="s">
        <v>10</v>
      </c>
      <c r="C74" s="14" t="s">
        <v>369</v>
      </c>
      <c r="D74" s="15" t="s">
        <v>370</v>
      </c>
      <c r="E74" s="14" t="s">
        <v>371</v>
      </c>
      <c r="F74" s="14" t="s">
        <v>14</v>
      </c>
      <c r="G74" s="16">
        <v>42000</v>
      </c>
      <c r="H74" s="16">
        <v>0.21</v>
      </c>
      <c r="I74" s="17">
        <f t="shared" si="1"/>
        <v>8820</v>
      </c>
    </row>
    <row r="75" customHeight="1" spans="1:10">
      <c r="A75" s="13"/>
      <c r="B75" s="14"/>
      <c r="C75" s="14"/>
      <c r="D75" s="15"/>
      <c r="E75" s="14"/>
      <c r="F75" s="16" t="s">
        <v>15</v>
      </c>
      <c r="G75" s="16">
        <v>42000</v>
      </c>
      <c r="H75" s="16">
        <v>0.08</v>
      </c>
      <c r="I75" s="17">
        <f t="shared" si="1"/>
        <v>3360</v>
      </c>
    </row>
    <row r="76" customHeight="1" spans="1:10">
      <c r="A76" s="13"/>
      <c r="B76" s="14"/>
      <c r="C76" s="14"/>
      <c r="D76" s="15"/>
      <c r="E76" s="14"/>
      <c r="F76" s="16" t="s">
        <v>28</v>
      </c>
      <c r="G76" s="16">
        <f>42000*4</f>
        <v>168000</v>
      </c>
      <c r="H76" s="16">
        <v>0.04</v>
      </c>
      <c r="I76" s="17">
        <f t="shared" si="1"/>
        <v>6720</v>
      </c>
    </row>
    <row r="77" customHeight="1" spans="1:10">
      <c r="A77" s="13"/>
      <c r="B77" s="14"/>
      <c r="C77" s="14"/>
      <c r="D77" s="15"/>
      <c r="E77" s="14"/>
      <c r="F77" s="14" t="s">
        <v>17</v>
      </c>
      <c r="G77" s="16">
        <v>42000</v>
      </c>
      <c r="H77" s="16">
        <v>0.12</v>
      </c>
      <c r="I77" s="17">
        <f t="shared" si="1"/>
        <v>5040</v>
      </c>
    </row>
    <row r="78" customHeight="1" spans="1:10">
      <c r="E78" s="95"/>
      <c r="I78" s="31">
        <f>SUM(I3:I77)</f>
        <v>468657.13</v>
      </c>
      <c r="J78" s="1">
        <v>41867.1721</v>
      </c>
    </row>
    <row r="79" customHeight="1" spans="1:10">
      <c r="I79" s="32">
        <f>-J78</f>
        <v>-41867.1721</v>
      </c>
      <c r="J79" s="1" t="s">
        <v>372</v>
      </c>
    </row>
    <row r="80" customHeight="1" spans="1:10">
      <c r="I80" s="31">
        <f>I78+I79</f>
        <v>426789.9579</v>
      </c>
    </row>
  </sheetData>
  <autoFilter xmlns:etc="http://www.wps.cn/officeDocument/2017/etCustomData" ref="A1:I80" etc:filterBottomFollowUsedRange="0">
    <extLst/>
  </autoFilter>
  <mergeCells count="86">
    <mergeCell ref="A1:I1"/>
    <mergeCell ref="A3:A9"/>
    <mergeCell ref="A10:A15"/>
    <mergeCell ref="A16:A19"/>
    <mergeCell ref="A20:A23"/>
    <mergeCell ref="A24:A26"/>
    <mergeCell ref="A27:A30"/>
    <mergeCell ref="A31:A34"/>
    <mergeCell ref="A35:A38"/>
    <mergeCell ref="A40:A43"/>
    <mergeCell ref="A44:A47"/>
    <mergeCell ref="A48:A49"/>
    <mergeCell ref="A50:A53"/>
    <mergeCell ref="A54:A57"/>
    <mergeCell ref="A58:A61"/>
    <mergeCell ref="A62:A67"/>
    <mergeCell ref="A68:A73"/>
    <mergeCell ref="A74:A77"/>
    <mergeCell ref="B3:B9"/>
    <mergeCell ref="B10:B15"/>
    <mergeCell ref="B16:B19"/>
    <mergeCell ref="B20:B23"/>
    <mergeCell ref="B24:B26"/>
    <mergeCell ref="B27:B30"/>
    <mergeCell ref="B31:B34"/>
    <mergeCell ref="B35:B38"/>
    <mergeCell ref="B40:B43"/>
    <mergeCell ref="B44:B47"/>
    <mergeCell ref="B48:B49"/>
    <mergeCell ref="B50:B53"/>
    <mergeCell ref="B54:B57"/>
    <mergeCell ref="B58:B61"/>
    <mergeCell ref="B62:B67"/>
    <mergeCell ref="B68:B73"/>
    <mergeCell ref="B74:B77"/>
    <mergeCell ref="C3:C9"/>
    <mergeCell ref="C10:C15"/>
    <mergeCell ref="C16:C19"/>
    <mergeCell ref="C20:C23"/>
    <mergeCell ref="C24:C26"/>
    <mergeCell ref="C27:C30"/>
    <mergeCell ref="C31:C34"/>
    <mergeCell ref="C35:C38"/>
    <mergeCell ref="C40:C43"/>
    <mergeCell ref="C44:C47"/>
    <mergeCell ref="C48:C49"/>
    <mergeCell ref="C50:C53"/>
    <mergeCell ref="C54:C57"/>
    <mergeCell ref="C58:C61"/>
    <mergeCell ref="C62:C67"/>
    <mergeCell ref="C68:C73"/>
    <mergeCell ref="C74:C77"/>
    <mergeCell ref="D3:D9"/>
    <mergeCell ref="D10:D15"/>
    <mergeCell ref="D16:D19"/>
    <mergeCell ref="D20:D23"/>
    <mergeCell ref="D24:D26"/>
    <mergeCell ref="D27:D30"/>
    <mergeCell ref="D31:D34"/>
    <mergeCell ref="D35:D38"/>
    <mergeCell ref="D40:D43"/>
    <mergeCell ref="D44:D47"/>
    <mergeCell ref="D48:D49"/>
    <mergeCell ref="D50:D53"/>
    <mergeCell ref="D54:D57"/>
    <mergeCell ref="D58:D61"/>
    <mergeCell ref="D62:D67"/>
    <mergeCell ref="D68:D73"/>
    <mergeCell ref="D74:D77"/>
    <mergeCell ref="E3:E9"/>
    <mergeCell ref="E10:E15"/>
    <mergeCell ref="E16:E19"/>
    <mergeCell ref="E20:E23"/>
    <mergeCell ref="E24:E26"/>
    <mergeCell ref="E27:E30"/>
    <mergeCell ref="E31:E34"/>
    <mergeCell ref="E35:E38"/>
    <mergeCell ref="E40:E43"/>
    <mergeCell ref="E44:E47"/>
    <mergeCell ref="E48:E49"/>
    <mergeCell ref="E50:E53"/>
    <mergeCell ref="E54:E57"/>
    <mergeCell ref="E58:E61"/>
    <mergeCell ref="E62:E67"/>
    <mergeCell ref="E68:E73"/>
    <mergeCell ref="E74:E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workbookViewId="0">
      <selection activeCell="K19" sqref="K19"/>
    </sheetView>
  </sheetViews>
  <sheetFormatPr defaultColWidth="8.72727272727273" defaultRowHeight="14" customHeight="1"/>
  <cols>
    <col min="1" max="2" width="14.9090909090909" style="1" customWidth="1"/>
    <col min="3" max="3" width="13.6363636363636" style="1" customWidth="1"/>
    <col min="4" max="4" width="14" style="1" customWidth="1"/>
    <col min="5" max="5" width="28.5454545454545" style="1" customWidth="1"/>
    <col min="6" max="6" width="56.0909090909091" style="95" customWidth="1"/>
    <col min="7" max="8" width="11" style="95" customWidth="1"/>
    <col min="9" max="9" width="14.9090909090909" style="95" customWidth="1"/>
    <col min="10" max="16384" width="8.72727272727273" style="1"/>
  </cols>
  <sheetData>
    <row r="1" ht="21" customHeight="1" spans="1:9">
      <c r="A1" s="3" t="s">
        <v>106</v>
      </c>
      <c r="B1" s="4"/>
      <c r="C1" s="4"/>
      <c r="D1" s="5"/>
      <c r="E1" s="4"/>
      <c r="F1" s="4"/>
      <c r="G1" s="4"/>
      <c r="H1" s="4"/>
      <c r="I1" s="4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96" t="s">
        <v>9</v>
      </c>
    </row>
    <row r="3" customHeight="1" spans="1:9">
      <c r="A3" s="19">
        <v>45775</v>
      </c>
      <c r="B3" s="20" t="s">
        <v>10</v>
      </c>
      <c r="C3" s="21" t="s">
        <v>373</v>
      </c>
      <c r="D3" s="22" t="s">
        <v>374</v>
      </c>
      <c r="E3" s="21" t="s">
        <v>375</v>
      </c>
      <c r="F3" s="14" t="s">
        <v>161</v>
      </c>
      <c r="G3" s="17">
        <v>94500</v>
      </c>
      <c r="H3" s="17">
        <v>0.21</v>
      </c>
      <c r="I3" s="17">
        <f t="shared" ref="I3:I66" si="0">G3*H3</f>
        <v>19845</v>
      </c>
    </row>
    <row r="4" customHeight="1" spans="1:9">
      <c r="A4" s="19"/>
      <c r="B4" s="20"/>
      <c r="C4" s="20"/>
      <c r="D4" s="22"/>
      <c r="E4" s="20"/>
      <c r="F4" s="17" t="s">
        <v>15</v>
      </c>
      <c r="G4" s="17">
        <v>94500</v>
      </c>
      <c r="H4" s="17">
        <v>0.08</v>
      </c>
      <c r="I4" s="17">
        <f t="shared" si="0"/>
        <v>7560</v>
      </c>
    </row>
    <row r="5" customHeight="1" spans="1:9">
      <c r="A5" s="19"/>
      <c r="B5" s="20"/>
      <c r="C5" s="20"/>
      <c r="D5" s="22"/>
      <c r="E5" s="20"/>
      <c r="F5" s="14" t="s">
        <v>161</v>
      </c>
      <c r="G5" s="17">
        <v>27972</v>
      </c>
      <c r="H5" s="17">
        <v>0.21</v>
      </c>
      <c r="I5" s="17">
        <f t="shared" si="0"/>
        <v>5874.12</v>
      </c>
    </row>
    <row r="6" customHeight="1" spans="1:9">
      <c r="A6" s="19"/>
      <c r="B6" s="20"/>
      <c r="C6" s="20"/>
      <c r="D6" s="22"/>
      <c r="E6" s="20"/>
      <c r="F6" s="17" t="s">
        <v>15</v>
      </c>
      <c r="G6" s="17">
        <v>27972</v>
      </c>
      <c r="H6" s="17">
        <v>0.08</v>
      </c>
      <c r="I6" s="17">
        <f t="shared" si="0"/>
        <v>2237.76</v>
      </c>
    </row>
    <row r="7" customHeight="1" spans="1:9">
      <c r="A7" s="19"/>
      <c r="B7" s="20"/>
      <c r="C7" s="20"/>
      <c r="D7" s="22"/>
      <c r="E7" s="20"/>
      <c r="F7" s="14" t="s">
        <v>161</v>
      </c>
      <c r="G7" s="17">
        <v>21335</v>
      </c>
      <c r="H7" s="17">
        <v>0.21</v>
      </c>
      <c r="I7" s="17">
        <f t="shared" si="0"/>
        <v>4480.35</v>
      </c>
    </row>
    <row r="8" customHeight="1" spans="1:9">
      <c r="A8" s="19"/>
      <c r="B8" s="20"/>
      <c r="C8" s="20"/>
      <c r="D8" s="22"/>
      <c r="E8" s="20"/>
      <c r="F8" s="17" t="s">
        <v>15</v>
      </c>
      <c r="G8" s="17">
        <v>21335</v>
      </c>
      <c r="H8" s="17">
        <v>0.08</v>
      </c>
      <c r="I8" s="17">
        <f t="shared" si="0"/>
        <v>1706.8</v>
      </c>
    </row>
    <row r="9" customHeight="1" spans="1:9">
      <c r="A9" s="19"/>
      <c r="B9" s="20"/>
      <c r="C9" s="20"/>
      <c r="D9" s="22"/>
      <c r="E9" s="20"/>
      <c r="F9" s="14" t="s">
        <v>161</v>
      </c>
      <c r="G9" s="17">
        <v>31789</v>
      </c>
      <c r="H9" s="17">
        <v>0.21</v>
      </c>
      <c r="I9" s="17">
        <f t="shared" si="0"/>
        <v>6675.69</v>
      </c>
    </row>
    <row r="10" customHeight="1" spans="1:9">
      <c r="A10" s="19"/>
      <c r="B10" s="20"/>
      <c r="C10" s="20"/>
      <c r="D10" s="22"/>
      <c r="E10" s="20"/>
      <c r="F10" s="17" t="s">
        <v>15</v>
      </c>
      <c r="G10" s="17">
        <v>31789</v>
      </c>
      <c r="H10" s="17">
        <v>0.08</v>
      </c>
      <c r="I10" s="17">
        <f t="shared" si="0"/>
        <v>2543.12</v>
      </c>
    </row>
    <row r="11" customHeight="1" spans="1:9">
      <c r="A11" s="19"/>
      <c r="B11" s="20"/>
      <c r="C11" s="20"/>
      <c r="D11" s="22"/>
      <c r="E11" s="20"/>
      <c r="F11" s="14" t="s">
        <v>161</v>
      </c>
      <c r="G11" s="17">
        <v>21490</v>
      </c>
      <c r="H11" s="17">
        <v>0.21</v>
      </c>
      <c r="I11" s="17">
        <f t="shared" si="0"/>
        <v>4512.9</v>
      </c>
    </row>
    <row r="12" customHeight="1" spans="1:9">
      <c r="A12" s="19"/>
      <c r="B12" s="20"/>
      <c r="C12" s="20"/>
      <c r="D12" s="22"/>
      <c r="E12" s="20"/>
      <c r="F12" s="17" t="s">
        <v>15</v>
      </c>
      <c r="G12" s="17">
        <v>21490</v>
      </c>
      <c r="H12" s="17">
        <v>0.08</v>
      </c>
      <c r="I12" s="17">
        <f t="shared" si="0"/>
        <v>1719.2</v>
      </c>
    </row>
    <row r="13" customHeight="1" spans="1:9">
      <c r="A13" s="19"/>
      <c r="B13" s="20"/>
      <c r="C13" s="20"/>
      <c r="D13" s="22"/>
      <c r="E13" s="20"/>
      <c r="F13" s="14" t="s">
        <v>161</v>
      </c>
      <c r="G13" s="17">
        <v>6963</v>
      </c>
      <c r="H13" s="17">
        <v>0.21</v>
      </c>
      <c r="I13" s="17">
        <f t="shared" si="0"/>
        <v>1462.23</v>
      </c>
    </row>
    <row r="14" customHeight="1" spans="1:9">
      <c r="A14" s="19"/>
      <c r="B14" s="20"/>
      <c r="C14" s="20"/>
      <c r="D14" s="22"/>
      <c r="E14" s="20"/>
      <c r="F14" s="17" t="s">
        <v>15</v>
      </c>
      <c r="G14" s="17">
        <v>6963</v>
      </c>
      <c r="H14" s="17">
        <v>0.08</v>
      </c>
      <c r="I14" s="17">
        <f t="shared" si="0"/>
        <v>557.04</v>
      </c>
    </row>
    <row r="15" customHeight="1" spans="1:9">
      <c r="A15" s="19"/>
      <c r="B15" s="20"/>
      <c r="C15" s="20"/>
      <c r="D15" s="22"/>
      <c r="E15" s="20"/>
      <c r="F15" s="16" t="s">
        <v>57</v>
      </c>
      <c r="G15" s="17">
        <v>204043</v>
      </c>
      <c r="H15" s="16">
        <v>0.24</v>
      </c>
      <c r="I15" s="17">
        <f t="shared" si="0"/>
        <v>48970.32</v>
      </c>
    </row>
    <row r="16" customHeight="1" spans="1:9">
      <c r="A16" s="19"/>
      <c r="B16" s="20"/>
      <c r="C16" s="20"/>
      <c r="D16" s="22"/>
      <c r="E16" s="20"/>
      <c r="F16" s="14" t="s">
        <v>376</v>
      </c>
      <c r="G16" s="17">
        <v>204043</v>
      </c>
      <c r="H16" s="17">
        <v>0.85</v>
      </c>
      <c r="I16" s="17">
        <f t="shared" si="0"/>
        <v>173436.55</v>
      </c>
    </row>
    <row r="17" customHeight="1" spans="1:9">
      <c r="A17" s="19"/>
      <c r="B17" s="20"/>
      <c r="C17" s="20"/>
      <c r="D17" s="22"/>
      <c r="E17" s="20"/>
      <c r="F17" s="14" t="s">
        <v>377</v>
      </c>
      <c r="G17" s="16">
        <f>G16*4</f>
        <v>816172</v>
      </c>
      <c r="H17" s="16">
        <v>0.04</v>
      </c>
      <c r="I17" s="17">
        <f t="shared" si="0"/>
        <v>32646.88</v>
      </c>
    </row>
    <row r="18" customHeight="1" spans="1:9">
      <c r="A18" s="19">
        <v>45813</v>
      </c>
      <c r="B18" s="20" t="s">
        <v>10</v>
      </c>
      <c r="C18" s="21" t="s">
        <v>378</v>
      </c>
      <c r="D18" s="22" t="s">
        <v>379</v>
      </c>
      <c r="E18" s="21" t="s">
        <v>380</v>
      </c>
      <c r="F18" s="14" t="s">
        <v>362</v>
      </c>
      <c r="G18" s="17">
        <v>32132</v>
      </c>
      <c r="H18" s="17">
        <v>0.21</v>
      </c>
      <c r="I18" s="17">
        <f t="shared" si="0"/>
        <v>6747.72</v>
      </c>
    </row>
    <row r="19" customHeight="1" spans="1:9">
      <c r="A19" s="19"/>
      <c r="B19" s="20"/>
      <c r="C19" s="20"/>
      <c r="D19" s="22"/>
      <c r="E19" s="20"/>
      <c r="F19" s="16" t="s">
        <v>15</v>
      </c>
      <c r="G19" s="17">
        <v>32132</v>
      </c>
      <c r="H19" s="17">
        <v>0.08</v>
      </c>
      <c r="I19" s="17">
        <f t="shared" si="0"/>
        <v>2570.56</v>
      </c>
    </row>
    <row r="20" customHeight="1" spans="1:9">
      <c r="A20" s="19"/>
      <c r="B20" s="20"/>
      <c r="C20" s="20"/>
      <c r="D20" s="22"/>
      <c r="E20" s="20"/>
      <c r="F20" s="14" t="s">
        <v>362</v>
      </c>
      <c r="G20" s="17">
        <f>31500*1.02</f>
        <v>32130</v>
      </c>
      <c r="H20" s="17">
        <v>0.21</v>
      </c>
      <c r="I20" s="17">
        <f t="shared" si="0"/>
        <v>6747.3</v>
      </c>
    </row>
    <row r="21" customHeight="1" spans="1:9">
      <c r="A21" s="19"/>
      <c r="B21" s="20"/>
      <c r="C21" s="20"/>
      <c r="D21" s="22"/>
      <c r="E21" s="20"/>
      <c r="F21" s="16" t="s">
        <v>15</v>
      </c>
      <c r="G21" s="17">
        <v>32130</v>
      </c>
      <c r="H21" s="17">
        <v>0.08</v>
      </c>
      <c r="I21" s="17">
        <f t="shared" si="0"/>
        <v>2570.4</v>
      </c>
    </row>
    <row r="22" customHeight="1" spans="1:9">
      <c r="A22" s="19"/>
      <c r="B22" s="20"/>
      <c r="C22" s="20"/>
      <c r="D22" s="22"/>
      <c r="E22" s="20"/>
      <c r="F22" s="16" t="s">
        <v>363</v>
      </c>
      <c r="G22" s="17">
        <f>64262*4</f>
        <v>257048</v>
      </c>
      <c r="H22" s="17">
        <v>0.04</v>
      </c>
      <c r="I22" s="17">
        <f t="shared" si="0"/>
        <v>10281.92</v>
      </c>
    </row>
    <row r="23" ht="28" spans="1:9">
      <c r="A23" s="19"/>
      <c r="B23" s="20"/>
      <c r="C23" s="20"/>
      <c r="D23" s="22"/>
      <c r="E23" s="20"/>
      <c r="F23" s="14" t="s">
        <v>381</v>
      </c>
      <c r="G23" s="17">
        <v>64262</v>
      </c>
      <c r="H23" s="17">
        <v>0.08</v>
      </c>
      <c r="I23" s="17">
        <f t="shared" si="0"/>
        <v>5140.96</v>
      </c>
    </row>
    <row r="24" customHeight="1" spans="1:9">
      <c r="A24" s="19"/>
      <c r="B24" s="20"/>
      <c r="C24" s="20"/>
      <c r="D24" s="22"/>
      <c r="E24" s="20"/>
      <c r="F24" s="16" t="s">
        <v>365</v>
      </c>
      <c r="G24" s="17">
        <v>64262</v>
      </c>
      <c r="H24" s="17">
        <v>0</v>
      </c>
      <c r="I24" s="17">
        <f t="shared" si="0"/>
        <v>0</v>
      </c>
    </row>
    <row r="25" customHeight="1" spans="1:9">
      <c r="A25" s="19"/>
      <c r="B25" s="20"/>
      <c r="C25" s="20"/>
      <c r="D25" s="22"/>
      <c r="E25" s="20"/>
      <c r="F25" s="14" t="s">
        <v>325</v>
      </c>
      <c r="G25" s="17">
        <f>3*4*10+10</f>
        <v>130</v>
      </c>
      <c r="H25" s="17">
        <v>0</v>
      </c>
      <c r="I25" s="17">
        <f t="shared" si="0"/>
        <v>0</v>
      </c>
    </row>
    <row r="26" customHeight="1" spans="1:9">
      <c r="A26" s="19">
        <v>45813</v>
      </c>
      <c r="B26" s="20" t="s">
        <v>10</v>
      </c>
      <c r="C26" s="14">
        <v>82462</v>
      </c>
      <c r="D26" s="22" t="s">
        <v>382</v>
      </c>
      <c r="E26" s="21" t="s">
        <v>383</v>
      </c>
      <c r="F26" s="14" t="s">
        <v>362</v>
      </c>
      <c r="G26" s="17">
        <v>32130</v>
      </c>
      <c r="H26" s="17">
        <v>0.21</v>
      </c>
      <c r="I26" s="17">
        <f t="shared" si="0"/>
        <v>6747.3</v>
      </c>
    </row>
    <row r="27" customHeight="1" spans="1:9">
      <c r="A27" s="19"/>
      <c r="B27" s="20"/>
      <c r="C27" s="14"/>
      <c r="D27" s="22"/>
      <c r="E27" s="20"/>
      <c r="F27" s="16" t="s">
        <v>15</v>
      </c>
      <c r="G27" s="17">
        <f>31500*1.02</f>
        <v>32130</v>
      </c>
      <c r="H27" s="17">
        <v>0.08</v>
      </c>
      <c r="I27" s="17">
        <f t="shared" si="0"/>
        <v>2570.4</v>
      </c>
    </row>
    <row r="28" customHeight="1" spans="1:9">
      <c r="A28" s="19"/>
      <c r="B28" s="20"/>
      <c r="C28" s="14"/>
      <c r="D28" s="22"/>
      <c r="E28" s="20"/>
      <c r="F28" s="16" t="s">
        <v>363</v>
      </c>
      <c r="G28" s="17">
        <f>32130*4</f>
        <v>128520</v>
      </c>
      <c r="H28" s="17">
        <v>0.04</v>
      </c>
      <c r="I28" s="17">
        <f t="shared" si="0"/>
        <v>5140.8</v>
      </c>
    </row>
    <row r="29" customHeight="1" spans="1:9">
      <c r="A29" s="19"/>
      <c r="B29" s="20"/>
      <c r="C29" s="14"/>
      <c r="D29" s="22"/>
      <c r="E29" s="20"/>
      <c r="F29" s="14" t="s">
        <v>381</v>
      </c>
      <c r="G29" s="17">
        <f>31500*1.02</f>
        <v>32130</v>
      </c>
      <c r="H29" s="17">
        <v>0.08</v>
      </c>
      <c r="I29" s="17">
        <f t="shared" si="0"/>
        <v>2570.4</v>
      </c>
    </row>
    <row r="30" customHeight="1" spans="1:9">
      <c r="A30" s="19"/>
      <c r="B30" s="20"/>
      <c r="C30" s="14"/>
      <c r="D30" s="22"/>
      <c r="E30" s="20"/>
      <c r="F30" s="16" t="s">
        <v>365</v>
      </c>
      <c r="G30" s="17">
        <f>31500*1.02</f>
        <v>32130</v>
      </c>
      <c r="H30" s="17">
        <v>0</v>
      </c>
      <c r="I30" s="17">
        <f t="shared" si="0"/>
        <v>0</v>
      </c>
    </row>
    <row r="31" customHeight="1" spans="1:9">
      <c r="A31" s="19"/>
      <c r="B31" s="20"/>
      <c r="C31" s="14"/>
      <c r="D31" s="22"/>
      <c r="E31" s="20"/>
      <c r="F31" s="14" t="s">
        <v>325</v>
      </c>
      <c r="G31" s="17">
        <f>3*4*10+10</f>
        <v>130</v>
      </c>
      <c r="H31" s="17">
        <v>0</v>
      </c>
      <c r="I31" s="17">
        <f t="shared" si="0"/>
        <v>0</v>
      </c>
    </row>
    <row r="32" customHeight="1" spans="1:9">
      <c r="A32" s="19">
        <v>45815</v>
      </c>
      <c r="B32" s="20" t="s">
        <v>10</v>
      </c>
      <c r="C32" s="14" t="s">
        <v>384</v>
      </c>
      <c r="D32" s="22" t="s">
        <v>385</v>
      </c>
      <c r="E32" s="21" t="s">
        <v>386</v>
      </c>
      <c r="F32" s="14" t="s">
        <v>362</v>
      </c>
      <c r="G32" s="17">
        <v>62226</v>
      </c>
      <c r="H32" s="17">
        <v>0.21</v>
      </c>
      <c r="I32" s="17">
        <f t="shared" si="0"/>
        <v>13067.46</v>
      </c>
    </row>
    <row r="33" customHeight="1" spans="1:9">
      <c r="A33" s="19"/>
      <c r="B33" s="20"/>
      <c r="C33" s="30"/>
      <c r="D33" s="22"/>
      <c r="E33" s="20"/>
      <c r="F33" s="16" t="s">
        <v>15</v>
      </c>
      <c r="G33" s="17">
        <v>62226</v>
      </c>
      <c r="H33" s="17">
        <v>0.08</v>
      </c>
      <c r="I33" s="17">
        <f t="shared" si="0"/>
        <v>4978.08</v>
      </c>
    </row>
    <row r="34" customHeight="1" spans="1:9">
      <c r="A34" s="19"/>
      <c r="B34" s="20"/>
      <c r="C34" s="30"/>
      <c r="D34" s="22"/>
      <c r="E34" s="20"/>
      <c r="F34" s="14" t="s">
        <v>161</v>
      </c>
      <c r="G34" s="17">
        <v>40930</v>
      </c>
      <c r="H34" s="17">
        <v>0.21</v>
      </c>
      <c r="I34" s="17">
        <f t="shared" si="0"/>
        <v>8595.3</v>
      </c>
    </row>
    <row r="35" customHeight="1" spans="1:9">
      <c r="A35" s="19"/>
      <c r="B35" s="20"/>
      <c r="C35" s="30"/>
      <c r="D35" s="22"/>
      <c r="E35" s="20"/>
      <c r="F35" s="16" t="s">
        <v>15</v>
      </c>
      <c r="G35" s="17">
        <v>40930</v>
      </c>
      <c r="H35" s="17">
        <v>0.08</v>
      </c>
      <c r="I35" s="17">
        <f t="shared" si="0"/>
        <v>3274.4</v>
      </c>
    </row>
    <row r="36" customHeight="1" spans="1:9">
      <c r="A36" s="19"/>
      <c r="B36" s="20"/>
      <c r="C36" s="30"/>
      <c r="D36" s="22"/>
      <c r="E36" s="20"/>
      <c r="F36" s="16" t="s">
        <v>363</v>
      </c>
      <c r="G36" s="17">
        <f>103975*4</f>
        <v>415900</v>
      </c>
      <c r="H36" s="17">
        <v>0.04</v>
      </c>
      <c r="I36" s="17">
        <f t="shared" si="0"/>
        <v>16636</v>
      </c>
    </row>
    <row r="37" customHeight="1" spans="1:9">
      <c r="A37" s="19"/>
      <c r="B37" s="20"/>
      <c r="C37" s="30"/>
      <c r="D37" s="22"/>
      <c r="E37" s="20"/>
      <c r="F37" s="14" t="s">
        <v>381</v>
      </c>
      <c r="G37" s="17">
        <v>103975</v>
      </c>
      <c r="H37" s="17">
        <v>0.08</v>
      </c>
      <c r="I37" s="17">
        <f t="shared" si="0"/>
        <v>8318</v>
      </c>
    </row>
    <row r="38" customHeight="1" spans="1:9">
      <c r="A38" s="19"/>
      <c r="B38" s="20"/>
      <c r="C38" s="30"/>
      <c r="D38" s="22"/>
      <c r="E38" s="20"/>
      <c r="F38" s="16" t="s">
        <v>259</v>
      </c>
      <c r="G38" s="17">
        <f>103975-367</f>
        <v>103608</v>
      </c>
      <c r="H38" s="17">
        <v>0</v>
      </c>
      <c r="I38" s="17">
        <f t="shared" si="0"/>
        <v>0</v>
      </c>
    </row>
    <row r="39" customHeight="1" spans="1:9">
      <c r="A39" s="19"/>
      <c r="B39" s="20"/>
      <c r="C39" s="30"/>
      <c r="D39" s="22"/>
      <c r="E39" s="20"/>
      <c r="F39" s="16" t="s">
        <v>259</v>
      </c>
      <c r="G39" s="17">
        <v>367</v>
      </c>
      <c r="H39" s="17">
        <v>0.58</v>
      </c>
      <c r="I39" s="17">
        <f t="shared" si="0"/>
        <v>212.86</v>
      </c>
    </row>
    <row r="40" customHeight="1" spans="1:9">
      <c r="A40" s="19"/>
      <c r="B40" s="20"/>
      <c r="C40" s="30"/>
      <c r="D40" s="22"/>
      <c r="E40" s="20"/>
      <c r="F40" s="14" t="s">
        <v>325</v>
      </c>
      <c r="G40" s="17">
        <f>3*4*10+10</f>
        <v>130</v>
      </c>
      <c r="H40" s="17">
        <v>0</v>
      </c>
      <c r="I40" s="17">
        <f t="shared" si="0"/>
        <v>0</v>
      </c>
    </row>
    <row r="41" customHeight="1" spans="1:9">
      <c r="A41" s="19">
        <v>45821</v>
      </c>
      <c r="B41" s="20" t="s">
        <v>10</v>
      </c>
      <c r="C41" s="14">
        <v>83157</v>
      </c>
      <c r="D41" s="22" t="s">
        <v>387</v>
      </c>
      <c r="E41" s="21" t="s">
        <v>388</v>
      </c>
      <c r="F41" s="14" t="s">
        <v>161</v>
      </c>
      <c r="G41" s="17">
        <v>6304</v>
      </c>
      <c r="H41" s="17">
        <v>0.21</v>
      </c>
      <c r="I41" s="17">
        <f t="shared" si="0"/>
        <v>1323.84</v>
      </c>
    </row>
    <row r="42" customHeight="1" spans="1:9">
      <c r="A42" s="19"/>
      <c r="B42" s="20"/>
      <c r="C42" s="14"/>
      <c r="D42" s="22"/>
      <c r="E42" s="20"/>
      <c r="F42" s="16" t="s">
        <v>15</v>
      </c>
      <c r="G42" s="17">
        <v>6304</v>
      </c>
      <c r="H42" s="17">
        <v>0.08</v>
      </c>
      <c r="I42" s="17">
        <f t="shared" si="0"/>
        <v>504.32</v>
      </c>
    </row>
    <row r="43" customHeight="1" spans="1:9">
      <c r="A43" s="19"/>
      <c r="B43" s="20"/>
      <c r="C43" s="14"/>
      <c r="D43" s="22"/>
      <c r="E43" s="20"/>
      <c r="F43" s="16" t="s">
        <v>16</v>
      </c>
      <c r="G43" s="16">
        <f>G42*4</f>
        <v>25216</v>
      </c>
      <c r="H43" s="16">
        <v>0.04</v>
      </c>
      <c r="I43" s="17">
        <f t="shared" si="0"/>
        <v>1008.64</v>
      </c>
    </row>
    <row r="44" customHeight="1" spans="1:9">
      <c r="A44" s="19"/>
      <c r="B44" s="20"/>
      <c r="C44" s="14"/>
      <c r="D44" s="22"/>
      <c r="E44" s="20"/>
      <c r="F44" s="14" t="s">
        <v>389</v>
      </c>
      <c r="G44" s="17">
        <v>6304</v>
      </c>
      <c r="H44" s="17">
        <v>0.12</v>
      </c>
      <c r="I44" s="17">
        <f t="shared" si="0"/>
        <v>756.48</v>
      </c>
    </row>
    <row r="45" customHeight="1" spans="1:9">
      <c r="A45" s="19"/>
      <c r="B45" s="20"/>
      <c r="C45" s="14"/>
      <c r="D45" s="22"/>
      <c r="E45" s="20"/>
      <c r="F45" s="16" t="s">
        <v>259</v>
      </c>
      <c r="G45" s="17">
        <v>6304</v>
      </c>
      <c r="H45" s="17">
        <v>0.58</v>
      </c>
      <c r="I45" s="17">
        <f t="shared" si="0"/>
        <v>3656.32</v>
      </c>
    </row>
    <row r="46" customHeight="1" spans="1:9">
      <c r="A46" s="19"/>
      <c r="B46" s="20"/>
      <c r="C46" s="14"/>
      <c r="D46" s="22"/>
      <c r="E46" s="20"/>
      <c r="F46" s="14" t="s">
        <v>325</v>
      </c>
      <c r="G46" s="17">
        <f>4*5*10+10</f>
        <v>210</v>
      </c>
      <c r="H46" s="17">
        <v>0</v>
      </c>
      <c r="I46" s="17">
        <f t="shared" si="0"/>
        <v>0</v>
      </c>
    </row>
    <row r="47" customHeight="1" spans="1:9">
      <c r="A47" s="13">
        <v>45821</v>
      </c>
      <c r="B47" s="14" t="s">
        <v>10</v>
      </c>
      <c r="C47" s="14">
        <v>83152</v>
      </c>
      <c r="D47" s="15" t="s">
        <v>390</v>
      </c>
      <c r="E47" s="14" t="s">
        <v>391</v>
      </c>
      <c r="F47" s="14" t="s">
        <v>14</v>
      </c>
      <c r="G47" s="16">
        <v>7351</v>
      </c>
      <c r="H47" s="16">
        <v>0.21</v>
      </c>
      <c r="I47" s="17">
        <f t="shared" si="0"/>
        <v>1543.71</v>
      </c>
    </row>
    <row r="48" customHeight="1" spans="1:9">
      <c r="A48" s="13"/>
      <c r="B48" s="14"/>
      <c r="C48" s="14"/>
      <c r="D48" s="15"/>
      <c r="E48" s="14"/>
      <c r="F48" s="16" t="s">
        <v>15</v>
      </c>
      <c r="G48" s="16">
        <v>7351</v>
      </c>
      <c r="H48" s="16">
        <v>0.08</v>
      </c>
      <c r="I48" s="17">
        <f t="shared" si="0"/>
        <v>588.08</v>
      </c>
    </row>
    <row r="49" customHeight="1" spans="1:9">
      <c r="A49" s="13"/>
      <c r="B49" s="14"/>
      <c r="C49" s="14"/>
      <c r="D49" s="15"/>
      <c r="E49" s="14"/>
      <c r="F49" s="16" t="s">
        <v>28</v>
      </c>
      <c r="G49" s="16">
        <f>G48*4</f>
        <v>29404</v>
      </c>
      <c r="H49" s="16">
        <v>0.04</v>
      </c>
      <c r="I49" s="17">
        <f t="shared" si="0"/>
        <v>1176.16</v>
      </c>
    </row>
    <row r="50" customHeight="1" spans="1:9">
      <c r="A50" s="13"/>
      <c r="B50" s="14"/>
      <c r="C50" s="14"/>
      <c r="D50" s="15"/>
      <c r="E50" s="14"/>
      <c r="F50" s="14" t="s">
        <v>17</v>
      </c>
      <c r="G50" s="16">
        <v>7351</v>
      </c>
      <c r="H50" s="16">
        <v>0.12</v>
      </c>
      <c r="I50" s="17">
        <f t="shared" si="0"/>
        <v>882.12</v>
      </c>
    </row>
    <row r="51" customHeight="1" spans="1:9">
      <c r="A51" s="13">
        <v>45825</v>
      </c>
      <c r="B51" s="14" t="s">
        <v>10</v>
      </c>
      <c r="C51" s="14" t="s">
        <v>392</v>
      </c>
      <c r="D51" s="15" t="s">
        <v>393</v>
      </c>
      <c r="E51" s="14" t="s">
        <v>394</v>
      </c>
      <c r="F51" s="14" t="s">
        <v>14</v>
      </c>
      <c r="G51" s="17">
        <v>20727</v>
      </c>
      <c r="H51" s="17">
        <v>0.21</v>
      </c>
      <c r="I51" s="17">
        <f t="shared" si="0"/>
        <v>4352.67</v>
      </c>
    </row>
    <row r="52" customHeight="1" spans="1:9">
      <c r="A52" s="13"/>
      <c r="B52" s="14"/>
      <c r="C52" s="30"/>
      <c r="D52" s="15"/>
      <c r="E52" s="14"/>
      <c r="F52" s="16" t="s">
        <v>15</v>
      </c>
      <c r="G52" s="17">
        <v>20727</v>
      </c>
      <c r="H52" s="17">
        <v>0.08</v>
      </c>
      <c r="I52" s="17">
        <f t="shared" si="0"/>
        <v>1658.16</v>
      </c>
    </row>
    <row r="53" customHeight="1" spans="1:9">
      <c r="A53" s="13"/>
      <c r="B53" s="14"/>
      <c r="C53" s="30"/>
      <c r="D53" s="15"/>
      <c r="E53" s="14"/>
      <c r="F53" s="16" t="s">
        <v>63</v>
      </c>
      <c r="G53" s="16">
        <f>20727*5</f>
        <v>103635</v>
      </c>
      <c r="H53" s="16">
        <v>0.04</v>
      </c>
      <c r="I53" s="17">
        <f t="shared" si="0"/>
        <v>4145.4</v>
      </c>
    </row>
    <row r="54" customHeight="1" spans="1:9">
      <c r="A54" s="13"/>
      <c r="B54" s="14"/>
      <c r="C54" s="30"/>
      <c r="D54" s="15"/>
      <c r="E54" s="14"/>
      <c r="F54" s="14" t="s">
        <v>57</v>
      </c>
      <c r="G54" s="17">
        <v>20727</v>
      </c>
      <c r="H54" s="17">
        <v>0.24</v>
      </c>
      <c r="I54" s="17">
        <f t="shared" si="0"/>
        <v>4974.48</v>
      </c>
    </row>
    <row r="55" customHeight="1" spans="1:9">
      <c r="A55" s="19">
        <v>45825</v>
      </c>
      <c r="B55" s="20" t="s">
        <v>10</v>
      </c>
      <c r="C55" s="14" t="s">
        <v>395</v>
      </c>
      <c r="D55" s="22" t="s">
        <v>396</v>
      </c>
      <c r="E55" s="21" t="s">
        <v>397</v>
      </c>
      <c r="F55" s="14" t="s">
        <v>14</v>
      </c>
      <c r="G55" s="17">
        <v>5871</v>
      </c>
      <c r="H55" s="17">
        <v>0.21</v>
      </c>
      <c r="I55" s="17">
        <f t="shared" si="0"/>
        <v>1232.91</v>
      </c>
    </row>
    <row r="56" customHeight="1" spans="1:9">
      <c r="A56" s="19"/>
      <c r="B56" s="20"/>
      <c r="C56" s="30"/>
      <c r="D56" s="22"/>
      <c r="E56" s="20"/>
      <c r="F56" s="16" t="s">
        <v>15</v>
      </c>
      <c r="G56" s="17">
        <v>5871</v>
      </c>
      <c r="H56" s="17">
        <v>0.08</v>
      </c>
      <c r="I56" s="17">
        <f t="shared" si="0"/>
        <v>469.68</v>
      </c>
    </row>
    <row r="57" customHeight="1" spans="1:9">
      <c r="A57" s="19"/>
      <c r="B57" s="20"/>
      <c r="C57" s="30"/>
      <c r="D57" s="22"/>
      <c r="E57" s="20"/>
      <c r="F57" s="16" t="s">
        <v>25</v>
      </c>
      <c r="G57" s="17">
        <f>5871*5</f>
        <v>29355</v>
      </c>
      <c r="H57" s="17">
        <v>0.04</v>
      </c>
      <c r="I57" s="17">
        <f t="shared" si="0"/>
        <v>1174.2</v>
      </c>
    </row>
    <row r="58" customHeight="1" spans="1:9">
      <c r="A58" s="19"/>
      <c r="B58" s="20"/>
      <c r="C58" s="30"/>
      <c r="D58" s="22"/>
      <c r="E58" s="20"/>
      <c r="F58" s="14" t="s">
        <v>57</v>
      </c>
      <c r="G58" s="17">
        <v>5871</v>
      </c>
      <c r="H58" s="17">
        <v>0.24</v>
      </c>
      <c r="I58" s="17">
        <f t="shared" si="0"/>
        <v>1409.04</v>
      </c>
    </row>
    <row r="59" customHeight="1" spans="1:9">
      <c r="A59" s="13">
        <v>45825</v>
      </c>
      <c r="B59" s="14" t="s">
        <v>10</v>
      </c>
      <c r="C59" s="14" t="s">
        <v>398</v>
      </c>
      <c r="D59" s="15" t="s">
        <v>399</v>
      </c>
      <c r="E59" s="14" t="s">
        <v>400</v>
      </c>
      <c r="F59" s="14" t="s">
        <v>14</v>
      </c>
      <c r="G59" s="16">
        <v>9870</v>
      </c>
      <c r="H59" s="16">
        <v>0.21</v>
      </c>
      <c r="I59" s="17">
        <f t="shared" si="0"/>
        <v>2072.7</v>
      </c>
    </row>
    <row r="60" customHeight="1" spans="1:9">
      <c r="A60" s="13"/>
      <c r="B60" s="14"/>
      <c r="C60" s="14"/>
      <c r="D60" s="15"/>
      <c r="E60" s="14"/>
      <c r="F60" s="16" t="s">
        <v>74</v>
      </c>
      <c r="G60" s="16">
        <v>9870</v>
      </c>
      <c r="H60" s="16">
        <v>0.04</v>
      </c>
      <c r="I60" s="17">
        <f t="shared" si="0"/>
        <v>394.8</v>
      </c>
    </row>
    <row r="61" customHeight="1" spans="1:9">
      <c r="A61" s="13"/>
      <c r="B61" s="14"/>
      <c r="C61" s="14"/>
      <c r="D61" s="15"/>
      <c r="E61" s="14"/>
      <c r="F61" s="16" t="s">
        <v>401</v>
      </c>
      <c r="G61" s="16">
        <v>5380</v>
      </c>
      <c r="H61" s="16">
        <v>0.04</v>
      </c>
      <c r="I61" s="17">
        <f t="shared" si="0"/>
        <v>215.2</v>
      </c>
    </row>
    <row r="62" customHeight="1" spans="1:9">
      <c r="A62" s="13"/>
      <c r="B62" s="14"/>
      <c r="C62" s="14"/>
      <c r="D62" s="15"/>
      <c r="E62" s="14"/>
      <c r="F62" s="14" t="s">
        <v>17</v>
      </c>
      <c r="G62" s="16">
        <v>9870</v>
      </c>
      <c r="H62" s="16">
        <v>0.12</v>
      </c>
      <c r="I62" s="17">
        <f t="shared" si="0"/>
        <v>1184.4</v>
      </c>
    </row>
    <row r="63" customHeight="1" spans="1:9">
      <c r="A63" s="13">
        <v>45825</v>
      </c>
      <c r="B63" s="14" t="s">
        <v>10</v>
      </c>
      <c r="C63" s="14" t="s">
        <v>398</v>
      </c>
      <c r="D63" s="15" t="s">
        <v>402</v>
      </c>
      <c r="E63" s="14" t="s">
        <v>403</v>
      </c>
      <c r="F63" s="14" t="s">
        <v>14</v>
      </c>
      <c r="G63" s="16">
        <v>16835</v>
      </c>
      <c r="H63" s="16">
        <v>0.21</v>
      </c>
      <c r="I63" s="17">
        <f t="shared" si="0"/>
        <v>3535.35</v>
      </c>
    </row>
    <row r="64" customHeight="1" spans="1:9">
      <c r="A64" s="13"/>
      <c r="B64" s="14"/>
      <c r="C64" s="14"/>
      <c r="D64" s="15"/>
      <c r="E64" s="14"/>
      <c r="F64" s="16" t="s">
        <v>74</v>
      </c>
      <c r="G64" s="16">
        <v>16835</v>
      </c>
      <c r="H64" s="16">
        <v>0.04</v>
      </c>
      <c r="I64" s="17">
        <f t="shared" si="0"/>
        <v>673.4</v>
      </c>
    </row>
    <row r="65" customHeight="1" spans="1:9">
      <c r="A65" s="13"/>
      <c r="B65" s="14"/>
      <c r="C65" s="14"/>
      <c r="D65" s="15"/>
      <c r="E65" s="14"/>
      <c r="F65" s="14" t="s">
        <v>17</v>
      </c>
      <c r="G65" s="16">
        <v>16835</v>
      </c>
      <c r="H65" s="16">
        <v>0.12</v>
      </c>
      <c r="I65" s="17">
        <f t="shared" si="0"/>
        <v>2020.2</v>
      </c>
    </row>
    <row r="66" customHeight="1" spans="1:9">
      <c r="A66" s="13">
        <v>45825</v>
      </c>
      <c r="B66" s="14" t="s">
        <v>10</v>
      </c>
      <c r="C66" s="14">
        <v>78554</v>
      </c>
      <c r="D66" s="15" t="s">
        <v>404</v>
      </c>
      <c r="E66" s="14" t="s">
        <v>405</v>
      </c>
      <c r="F66" s="14" t="s">
        <v>14</v>
      </c>
      <c r="G66" s="16">
        <v>3150</v>
      </c>
      <c r="H66" s="16">
        <v>0.21</v>
      </c>
      <c r="I66" s="17">
        <f t="shared" si="0"/>
        <v>661.5</v>
      </c>
    </row>
    <row r="67" customHeight="1" spans="1:9">
      <c r="A67" s="13"/>
      <c r="B67" s="14"/>
      <c r="C67" s="14"/>
      <c r="D67" s="15"/>
      <c r="E67" s="14"/>
      <c r="F67" s="16" t="s">
        <v>15</v>
      </c>
      <c r="G67" s="16">
        <v>3150</v>
      </c>
      <c r="H67" s="16">
        <v>0.08</v>
      </c>
      <c r="I67" s="17">
        <f t="shared" ref="I67:I101" si="1">G67*H67</f>
        <v>252</v>
      </c>
    </row>
    <row r="68" customHeight="1" spans="1:9">
      <c r="A68" s="13"/>
      <c r="B68" s="14"/>
      <c r="C68" s="14"/>
      <c r="D68" s="15"/>
      <c r="E68" s="14"/>
      <c r="F68" s="16" t="s">
        <v>28</v>
      </c>
      <c r="G68" s="16">
        <f>3150*4</f>
        <v>12600</v>
      </c>
      <c r="H68" s="16">
        <v>0.04</v>
      </c>
      <c r="I68" s="17">
        <f t="shared" si="1"/>
        <v>504</v>
      </c>
    </row>
    <row r="69" customHeight="1" spans="1:9">
      <c r="A69" s="13"/>
      <c r="B69" s="14"/>
      <c r="C69" s="14"/>
      <c r="D69" s="15"/>
      <c r="E69" s="14"/>
      <c r="F69" s="14" t="s">
        <v>17</v>
      </c>
      <c r="G69" s="16">
        <v>3150</v>
      </c>
      <c r="H69" s="16">
        <v>0</v>
      </c>
      <c r="I69" s="17">
        <f t="shared" si="1"/>
        <v>0</v>
      </c>
    </row>
    <row r="70" customHeight="1" spans="1:9">
      <c r="A70" s="13">
        <v>45837</v>
      </c>
      <c r="B70" s="14" t="s">
        <v>10</v>
      </c>
      <c r="C70" s="14">
        <v>83682</v>
      </c>
      <c r="D70" s="15" t="s">
        <v>406</v>
      </c>
      <c r="E70" s="14" t="s">
        <v>407</v>
      </c>
      <c r="F70" s="14" t="s">
        <v>14</v>
      </c>
      <c r="G70" s="16">
        <v>30494</v>
      </c>
      <c r="H70" s="16">
        <v>0.21</v>
      </c>
      <c r="I70" s="17">
        <f t="shared" si="1"/>
        <v>6403.74</v>
      </c>
    </row>
    <row r="71" customHeight="1" spans="1:9">
      <c r="A71" s="13"/>
      <c r="B71" s="14"/>
      <c r="C71" s="14"/>
      <c r="D71" s="15"/>
      <c r="E71" s="14"/>
      <c r="F71" s="16" t="s">
        <v>15</v>
      </c>
      <c r="G71" s="16">
        <v>30494</v>
      </c>
      <c r="H71" s="16">
        <v>0.08</v>
      </c>
      <c r="I71" s="17">
        <f t="shared" si="1"/>
        <v>2439.52</v>
      </c>
    </row>
    <row r="72" customHeight="1" spans="1:9">
      <c r="A72" s="13"/>
      <c r="B72" s="14"/>
      <c r="C72" s="14"/>
      <c r="D72" s="15"/>
      <c r="E72" s="14"/>
      <c r="F72" s="16" t="s">
        <v>28</v>
      </c>
      <c r="G72" s="16">
        <f>30494*4</f>
        <v>121976</v>
      </c>
      <c r="H72" s="16">
        <v>0.04</v>
      </c>
      <c r="I72" s="17">
        <f t="shared" si="1"/>
        <v>4879.04</v>
      </c>
    </row>
    <row r="73" customHeight="1" spans="1:9">
      <c r="A73" s="13"/>
      <c r="B73" s="14"/>
      <c r="C73" s="14"/>
      <c r="D73" s="15"/>
      <c r="E73" s="14"/>
      <c r="F73" s="16" t="s">
        <v>408</v>
      </c>
      <c r="G73" s="16">
        <f>11506*3</f>
        <v>34518</v>
      </c>
      <c r="H73" s="16">
        <v>0.04</v>
      </c>
      <c r="I73" s="17">
        <f t="shared" si="1"/>
        <v>1380.72</v>
      </c>
    </row>
    <row r="74" customHeight="1" spans="1:9">
      <c r="A74" s="13"/>
      <c r="B74" s="14"/>
      <c r="C74" s="14"/>
      <c r="D74" s="15"/>
      <c r="E74" s="14"/>
      <c r="F74" s="14" t="s">
        <v>17</v>
      </c>
      <c r="G74" s="16">
        <v>22754</v>
      </c>
      <c r="H74" s="16">
        <v>0.12</v>
      </c>
      <c r="I74" s="17">
        <f t="shared" si="1"/>
        <v>2730.48</v>
      </c>
    </row>
    <row r="75" customHeight="1" spans="1:9">
      <c r="A75" s="19">
        <v>45842</v>
      </c>
      <c r="B75" s="20" t="s">
        <v>10</v>
      </c>
      <c r="C75" s="21" t="s">
        <v>409</v>
      </c>
      <c r="D75" s="22" t="s">
        <v>410</v>
      </c>
      <c r="E75" s="21" t="s">
        <v>411</v>
      </c>
      <c r="F75" s="14" t="s">
        <v>362</v>
      </c>
      <c r="G75" s="17">
        <v>21420</v>
      </c>
      <c r="H75" s="17">
        <v>0.21</v>
      </c>
      <c r="I75" s="17">
        <f t="shared" si="1"/>
        <v>4498.2</v>
      </c>
    </row>
    <row r="76" customHeight="1" spans="1:9">
      <c r="A76" s="19"/>
      <c r="B76" s="20"/>
      <c r="C76" s="20"/>
      <c r="D76" s="22"/>
      <c r="E76" s="20"/>
      <c r="F76" s="16" t="s">
        <v>15</v>
      </c>
      <c r="G76" s="17">
        <v>21420</v>
      </c>
      <c r="H76" s="17">
        <v>0.08</v>
      </c>
      <c r="I76" s="17">
        <f t="shared" si="1"/>
        <v>1713.6</v>
      </c>
    </row>
    <row r="77" customHeight="1" spans="1:9">
      <c r="A77" s="19"/>
      <c r="B77" s="20"/>
      <c r="C77" s="20"/>
      <c r="D77" s="22"/>
      <c r="E77" s="20"/>
      <c r="F77" s="16" t="s">
        <v>363</v>
      </c>
      <c r="G77" s="17">
        <f>21420*4</f>
        <v>85680</v>
      </c>
      <c r="H77" s="17">
        <v>0.04</v>
      </c>
      <c r="I77" s="17">
        <f t="shared" si="1"/>
        <v>3427.2</v>
      </c>
    </row>
    <row r="78" customHeight="1" spans="1:9">
      <c r="A78" s="19"/>
      <c r="B78" s="20"/>
      <c r="C78" s="20"/>
      <c r="D78" s="22"/>
      <c r="E78" s="20"/>
      <c r="F78" s="14" t="s">
        <v>381</v>
      </c>
      <c r="G78" s="17">
        <v>21420</v>
      </c>
      <c r="H78" s="17">
        <v>0.08</v>
      </c>
      <c r="I78" s="17">
        <f t="shared" si="1"/>
        <v>1713.6</v>
      </c>
    </row>
    <row r="79" customHeight="1" spans="1:9">
      <c r="A79" s="19"/>
      <c r="B79" s="20"/>
      <c r="C79" s="20"/>
      <c r="D79" s="22"/>
      <c r="E79" s="20"/>
      <c r="F79" s="16" t="s">
        <v>365</v>
      </c>
      <c r="G79" s="17">
        <v>21420</v>
      </c>
      <c r="H79" s="17">
        <v>0.58</v>
      </c>
      <c r="I79" s="17">
        <f t="shared" si="1"/>
        <v>12423.6</v>
      </c>
    </row>
    <row r="80" customHeight="1" spans="1:9">
      <c r="A80" s="19"/>
      <c r="B80" s="20"/>
      <c r="C80" s="20"/>
      <c r="D80" s="22"/>
      <c r="E80" s="20"/>
      <c r="F80" s="14" t="s">
        <v>325</v>
      </c>
      <c r="G80" s="17">
        <f>4*10+10</f>
        <v>50</v>
      </c>
      <c r="H80" s="17">
        <v>0</v>
      </c>
      <c r="I80" s="17">
        <f t="shared" si="1"/>
        <v>0</v>
      </c>
    </row>
    <row r="81" customHeight="1" spans="1:9">
      <c r="A81" s="19">
        <v>45842</v>
      </c>
      <c r="B81" s="20" t="s">
        <v>10</v>
      </c>
      <c r="C81" s="14" t="s">
        <v>398</v>
      </c>
      <c r="D81" s="22" t="s">
        <v>412</v>
      </c>
      <c r="E81" s="21" t="s">
        <v>413</v>
      </c>
      <c r="F81" s="14" t="s">
        <v>414</v>
      </c>
      <c r="G81" s="17">
        <v>46350</v>
      </c>
      <c r="H81" s="17">
        <v>0.21</v>
      </c>
      <c r="I81" s="17">
        <f t="shared" si="1"/>
        <v>9733.5</v>
      </c>
    </row>
    <row r="82" customHeight="1" spans="1:9">
      <c r="A82" s="19"/>
      <c r="B82" s="20"/>
      <c r="C82" s="30"/>
      <c r="D82" s="22"/>
      <c r="E82" s="20"/>
      <c r="F82" s="16" t="s">
        <v>15</v>
      </c>
      <c r="G82" s="17">
        <v>46350</v>
      </c>
      <c r="H82" s="17">
        <v>0.08</v>
      </c>
      <c r="I82" s="17">
        <f t="shared" si="1"/>
        <v>3708</v>
      </c>
    </row>
    <row r="83" customHeight="1" spans="1:9">
      <c r="A83" s="19"/>
      <c r="B83" s="20"/>
      <c r="C83" s="30"/>
      <c r="D83" s="22"/>
      <c r="E83" s="20"/>
      <c r="F83" s="16" t="s">
        <v>415</v>
      </c>
      <c r="G83" s="17">
        <f>2320</f>
        <v>2320</v>
      </c>
      <c r="H83" s="17">
        <v>0.04</v>
      </c>
      <c r="I83" s="17">
        <f t="shared" si="1"/>
        <v>92.8</v>
      </c>
    </row>
    <row r="84" customHeight="1" spans="1:9">
      <c r="A84" s="19"/>
      <c r="B84" s="20"/>
      <c r="C84" s="30"/>
      <c r="D84" s="22"/>
      <c r="E84" s="20"/>
      <c r="F84" s="14" t="s">
        <v>416</v>
      </c>
      <c r="G84" s="17">
        <f>1030+1290</f>
        <v>2320</v>
      </c>
      <c r="H84" s="17">
        <v>0.12</v>
      </c>
      <c r="I84" s="17">
        <f t="shared" si="1"/>
        <v>278.4</v>
      </c>
    </row>
    <row r="85" customHeight="1" spans="1:9">
      <c r="A85" s="19">
        <v>45842</v>
      </c>
      <c r="B85" s="20" t="s">
        <v>10</v>
      </c>
      <c r="C85" s="14" t="s">
        <v>398</v>
      </c>
      <c r="D85" s="22" t="s">
        <v>417</v>
      </c>
      <c r="E85" s="21" t="s">
        <v>418</v>
      </c>
      <c r="F85" s="14" t="s">
        <v>419</v>
      </c>
      <c r="G85" s="17">
        <v>43256</v>
      </c>
      <c r="H85" s="17">
        <v>0.21</v>
      </c>
      <c r="I85" s="17">
        <f t="shared" si="1"/>
        <v>9083.76</v>
      </c>
    </row>
    <row r="86" customHeight="1" spans="1:9">
      <c r="A86" s="19"/>
      <c r="B86" s="20"/>
      <c r="C86" s="14"/>
      <c r="D86" s="22"/>
      <c r="E86" s="20"/>
      <c r="F86" s="16" t="s">
        <v>415</v>
      </c>
      <c r="G86" s="17">
        <f>880+1290</f>
        <v>2170</v>
      </c>
      <c r="H86" s="17">
        <v>0.04</v>
      </c>
      <c r="I86" s="17">
        <f t="shared" si="1"/>
        <v>86.8</v>
      </c>
    </row>
    <row r="87" customHeight="1" spans="1:9">
      <c r="A87" s="19"/>
      <c r="B87" s="20"/>
      <c r="C87" s="14"/>
      <c r="D87" s="22"/>
      <c r="E87" s="20"/>
      <c r="F87" s="14" t="s">
        <v>416</v>
      </c>
      <c r="G87" s="17">
        <f>880+1290</f>
        <v>2170</v>
      </c>
      <c r="H87" s="17">
        <v>0.12</v>
      </c>
      <c r="I87" s="17">
        <f t="shared" si="1"/>
        <v>260.4</v>
      </c>
    </row>
    <row r="88" customHeight="1" spans="1:9">
      <c r="A88" s="19">
        <v>45843</v>
      </c>
      <c r="B88" s="20" t="s">
        <v>10</v>
      </c>
      <c r="C88" s="14">
        <v>83719</v>
      </c>
      <c r="D88" s="22" t="s">
        <v>420</v>
      </c>
      <c r="E88" s="21" t="s">
        <v>421</v>
      </c>
      <c r="F88" s="14" t="s">
        <v>14</v>
      </c>
      <c r="G88" s="17">
        <v>1053</v>
      </c>
      <c r="H88" s="17">
        <v>0.21</v>
      </c>
      <c r="I88" s="17">
        <f t="shared" si="1"/>
        <v>221.13</v>
      </c>
    </row>
    <row r="89" customHeight="1" spans="1:9">
      <c r="A89" s="19"/>
      <c r="B89" s="20"/>
      <c r="C89" s="14"/>
      <c r="D89" s="22"/>
      <c r="E89" s="20"/>
      <c r="F89" s="16" t="s">
        <v>15</v>
      </c>
      <c r="G89" s="17">
        <v>1053</v>
      </c>
      <c r="H89" s="17">
        <v>0.08</v>
      </c>
      <c r="I89" s="17">
        <f t="shared" si="1"/>
        <v>84.24</v>
      </c>
    </row>
    <row r="90" customHeight="1" spans="1:9">
      <c r="A90" s="19"/>
      <c r="B90" s="20"/>
      <c r="C90" s="14"/>
      <c r="D90" s="22"/>
      <c r="E90" s="20"/>
      <c r="F90" s="16" t="s">
        <v>25</v>
      </c>
      <c r="G90" s="17">
        <f>1053*5</f>
        <v>5265</v>
      </c>
      <c r="H90" s="17">
        <v>0.04</v>
      </c>
      <c r="I90" s="17">
        <f t="shared" si="1"/>
        <v>210.6</v>
      </c>
    </row>
    <row r="91" customHeight="1" spans="1:9">
      <c r="A91" s="19"/>
      <c r="B91" s="20"/>
      <c r="C91" s="14"/>
      <c r="D91" s="22"/>
      <c r="E91" s="20"/>
      <c r="F91" s="14" t="s">
        <v>57</v>
      </c>
      <c r="G91" s="17">
        <v>1053</v>
      </c>
      <c r="H91" s="17">
        <v>0.24</v>
      </c>
      <c r="I91" s="17">
        <f t="shared" si="1"/>
        <v>252.72</v>
      </c>
    </row>
    <row r="92" customHeight="1" spans="1:9">
      <c r="A92" s="13">
        <v>45843</v>
      </c>
      <c r="B92" s="14" t="s">
        <v>10</v>
      </c>
      <c r="C92" s="14">
        <v>83720</v>
      </c>
      <c r="D92" s="15" t="s">
        <v>422</v>
      </c>
      <c r="E92" s="14" t="s">
        <v>423</v>
      </c>
      <c r="F92" s="16" t="s">
        <v>63</v>
      </c>
      <c r="G92" s="16">
        <f>8423*5</f>
        <v>42115</v>
      </c>
      <c r="H92" s="16">
        <v>0.04</v>
      </c>
      <c r="I92" s="17">
        <f t="shared" si="1"/>
        <v>1684.6</v>
      </c>
    </row>
    <row r="93" customHeight="1" spans="1:9">
      <c r="A93" s="13"/>
      <c r="B93" s="14"/>
      <c r="C93" s="14"/>
      <c r="D93" s="15"/>
      <c r="E93" s="14"/>
      <c r="F93" s="14" t="s">
        <v>57</v>
      </c>
      <c r="G93" s="17">
        <v>8423</v>
      </c>
      <c r="H93" s="17">
        <v>0.24</v>
      </c>
      <c r="I93" s="17">
        <f t="shared" si="1"/>
        <v>2021.52</v>
      </c>
    </row>
    <row r="94" customHeight="1" spans="1:9">
      <c r="A94" s="19">
        <v>45847</v>
      </c>
      <c r="B94" s="20" t="s">
        <v>10</v>
      </c>
      <c r="C94" s="21" t="s">
        <v>424</v>
      </c>
      <c r="D94" s="22" t="s">
        <v>425</v>
      </c>
      <c r="E94" s="21" t="s">
        <v>426</v>
      </c>
      <c r="F94" s="14" t="s">
        <v>427</v>
      </c>
      <c r="G94" s="17">
        <v>43680</v>
      </c>
      <c r="H94" s="17">
        <v>0.21</v>
      </c>
      <c r="I94" s="17">
        <f t="shared" si="1"/>
        <v>9172.8</v>
      </c>
    </row>
    <row r="95" customHeight="1" spans="1:9">
      <c r="A95" s="19"/>
      <c r="B95" s="20"/>
      <c r="C95" s="20"/>
      <c r="D95" s="22"/>
      <c r="E95" s="20"/>
      <c r="F95" s="16" t="s">
        <v>15</v>
      </c>
      <c r="G95" s="17">
        <v>43680</v>
      </c>
      <c r="H95" s="17">
        <v>0.08</v>
      </c>
      <c r="I95" s="17">
        <f t="shared" si="1"/>
        <v>3494.4</v>
      </c>
    </row>
    <row r="96" customHeight="1" spans="1:9">
      <c r="A96" s="19"/>
      <c r="B96" s="20"/>
      <c r="C96" s="20"/>
      <c r="D96" s="22"/>
      <c r="E96" s="20"/>
      <c r="F96" s="16" t="s">
        <v>428</v>
      </c>
      <c r="G96" s="17">
        <f>43680*4</f>
        <v>174720</v>
      </c>
      <c r="H96" s="17">
        <v>0.04</v>
      </c>
      <c r="I96" s="17">
        <f t="shared" si="1"/>
        <v>6988.8</v>
      </c>
    </row>
    <row r="97" customHeight="1" spans="1:9">
      <c r="A97" s="19"/>
      <c r="B97" s="20"/>
      <c r="C97" s="20"/>
      <c r="D97" s="22"/>
      <c r="E97" s="20"/>
      <c r="F97" s="14" t="s">
        <v>429</v>
      </c>
      <c r="G97" s="17">
        <v>43680</v>
      </c>
      <c r="H97" s="17">
        <v>0.08</v>
      </c>
      <c r="I97" s="17">
        <f t="shared" si="1"/>
        <v>3494.4</v>
      </c>
    </row>
    <row r="98" customHeight="1" spans="1:9">
      <c r="A98" s="19"/>
      <c r="B98" s="20"/>
      <c r="C98" s="20"/>
      <c r="D98" s="22"/>
      <c r="E98" s="20"/>
      <c r="F98" s="16" t="s">
        <v>430</v>
      </c>
      <c r="G98" s="17">
        <v>43680</v>
      </c>
      <c r="H98" s="17">
        <v>0.58</v>
      </c>
      <c r="I98" s="17">
        <f t="shared" si="1"/>
        <v>25334.4</v>
      </c>
    </row>
    <row r="99" customHeight="1" spans="1:9">
      <c r="A99" s="13">
        <v>45850</v>
      </c>
      <c r="B99" s="14" t="s">
        <v>10</v>
      </c>
      <c r="C99" s="14" t="s">
        <v>398</v>
      </c>
      <c r="D99" s="15" t="s">
        <v>431</v>
      </c>
      <c r="E99" s="14" t="s">
        <v>432</v>
      </c>
      <c r="F99" s="14" t="s">
        <v>14</v>
      </c>
      <c r="G99" s="16">
        <v>10478</v>
      </c>
      <c r="H99" s="16">
        <v>0.21</v>
      </c>
      <c r="I99" s="17">
        <f t="shared" si="1"/>
        <v>2200.38</v>
      </c>
    </row>
    <row r="100" customHeight="1" spans="1:9">
      <c r="A100" s="13"/>
      <c r="B100" s="14"/>
      <c r="C100" s="14"/>
      <c r="D100" s="15"/>
      <c r="E100" s="14"/>
      <c r="F100" s="16" t="s">
        <v>74</v>
      </c>
      <c r="G100" s="16">
        <v>10478</v>
      </c>
      <c r="H100" s="16">
        <v>0.04</v>
      </c>
      <c r="I100" s="17">
        <f t="shared" si="1"/>
        <v>419.12</v>
      </c>
    </row>
    <row r="101" customHeight="1" spans="1:9">
      <c r="A101" s="13"/>
      <c r="B101" s="14"/>
      <c r="C101" s="14"/>
      <c r="D101" s="15"/>
      <c r="E101" s="14"/>
      <c r="F101" s="14" t="s">
        <v>17</v>
      </c>
      <c r="G101" s="16">
        <v>8824</v>
      </c>
      <c r="H101" s="16">
        <v>0.12</v>
      </c>
      <c r="I101" s="17">
        <f t="shared" si="1"/>
        <v>1058.88</v>
      </c>
    </row>
    <row r="102" customHeight="1" spans="1:9">
      <c r="I102" s="97">
        <f>SUM(I3:I101)</f>
        <v>584258.93</v>
      </c>
    </row>
  </sheetData>
  <autoFilter xmlns:etc="http://www.wps.cn/officeDocument/2017/etCustomData" ref="A1:I102" etc:filterBottomFollowUsedRange="0">
    <extLst/>
  </autoFilter>
  <mergeCells count="96">
    <mergeCell ref="A1:I1"/>
    <mergeCell ref="A3:A17"/>
    <mergeCell ref="A18:A25"/>
    <mergeCell ref="A26:A31"/>
    <mergeCell ref="A32:A40"/>
    <mergeCell ref="A41:A46"/>
    <mergeCell ref="A47:A50"/>
    <mergeCell ref="A51:A54"/>
    <mergeCell ref="A55:A58"/>
    <mergeCell ref="A59:A62"/>
    <mergeCell ref="A63:A65"/>
    <mergeCell ref="A66:A69"/>
    <mergeCell ref="A70:A74"/>
    <mergeCell ref="A75:A80"/>
    <mergeCell ref="A81:A84"/>
    <mergeCell ref="A85:A87"/>
    <mergeCell ref="A88:A91"/>
    <mergeCell ref="A92:A93"/>
    <mergeCell ref="A94:A98"/>
    <mergeCell ref="A99:A101"/>
    <mergeCell ref="B3:B17"/>
    <mergeCell ref="B18:B25"/>
    <mergeCell ref="B26:B31"/>
    <mergeCell ref="B32:B40"/>
    <mergeCell ref="B41:B46"/>
    <mergeCell ref="B47:B50"/>
    <mergeCell ref="B51:B54"/>
    <mergeCell ref="B55:B58"/>
    <mergeCell ref="B59:B62"/>
    <mergeCell ref="B63:B65"/>
    <mergeCell ref="B66:B69"/>
    <mergeCell ref="B70:B74"/>
    <mergeCell ref="B75:B80"/>
    <mergeCell ref="B81:B84"/>
    <mergeCell ref="B85:B87"/>
    <mergeCell ref="B88:B91"/>
    <mergeCell ref="B92:B93"/>
    <mergeCell ref="B94:B98"/>
    <mergeCell ref="B99:B101"/>
    <mergeCell ref="C3:C17"/>
    <mergeCell ref="C18:C25"/>
    <mergeCell ref="C26:C31"/>
    <mergeCell ref="C32:C40"/>
    <mergeCell ref="C41:C46"/>
    <mergeCell ref="C47:C50"/>
    <mergeCell ref="C51:C54"/>
    <mergeCell ref="C55:C58"/>
    <mergeCell ref="C59:C62"/>
    <mergeCell ref="C63:C65"/>
    <mergeCell ref="C66:C69"/>
    <mergeCell ref="C70:C74"/>
    <mergeCell ref="C75:C80"/>
    <mergeCell ref="C81:C84"/>
    <mergeCell ref="C85:C87"/>
    <mergeCell ref="C88:C91"/>
    <mergeCell ref="C92:C93"/>
    <mergeCell ref="C94:C98"/>
    <mergeCell ref="C99:C101"/>
    <mergeCell ref="D3:D17"/>
    <mergeCell ref="D18:D25"/>
    <mergeCell ref="D26:D31"/>
    <mergeCell ref="D32:D40"/>
    <mergeCell ref="D41:D46"/>
    <mergeCell ref="D47:D50"/>
    <mergeCell ref="D51:D54"/>
    <mergeCell ref="D55:D58"/>
    <mergeCell ref="D59:D62"/>
    <mergeCell ref="D63:D65"/>
    <mergeCell ref="D66:D69"/>
    <mergeCell ref="D70:D74"/>
    <mergeCell ref="D75:D80"/>
    <mergeCell ref="D81:D84"/>
    <mergeCell ref="D85:D87"/>
    <mergeCell ref="D88:D91"/>
    <mergeCell ref="D92:D93"/>
    <mergeCell ref="D94:D98"/>
    <mergeCell ref="D99:D101"/>
    <mergeCell ref="E3:E17"/>
    <mergeCell ref="E18:E25"/>
    <mergeCell ref="E26:E31"/>
    <mergeCell ref="E32:E40"/>
    <mergeCell ref="E41:E46"/>
    <mergeCell ref="E47:E50"/>
    <mergeCell ref="E51:E54"/>
    <mergeCell ref="E55:E58"/>
    <mergeCell ref="E59:E62"/>
    <mergeCell ref="E63:E65"/>
    <mergeCell ref="E66:E69"/>
    <mergeCell ref="E70:E74"/>
    <mergeCell ref="E75:E80"/>
    <mergeCell ref="E81:E84"/>
    <mergeCell ref="E85:E87"/>
    <mergeCell ref="E88:E91"/>
    <mergeCell ref="E92:E93"/>
    <mergeCell ref="E94:E98"/>
    <mergeCell ref="E99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11月人民币 -已付10万</vt:lpstr>
      <vt:lpstr>12月人民币 </vt:lpstr>
      <vt:lpstr>1月人民币</vt:lpstr>
      <vt:lpstr>2月人民币 </vt:lpstr>
      <vt:lpstr>3月人民币</vt:lpstr>
      <vt:lpstr>4月人民币 </vt:lpstr>
      <vt:lpstr>5月人民币</vt:lpstr>
      <vt:lpstr>6月人民币</vt:lpstr>
      <vt:lpstr>7月人民币</vt:lpstr>
      <vt:lpstr>8月人民币 </vt:lpstr>
      <vt:lpstr>9月人民币</vt:lpstr>
      <vt:lpstr>10月人民币</vt:lpstr>
      <vt:lpstr>11月人民币 </vt:lpstr>
      <vt:lpstr>12月人民币</vt:lpstr>
      <vt:lpstr>美金已付</vt:lpstr>
      <vt:lpstr>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2026-01-13T13:33:17Z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