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丰宇" sheetId="1" r:id="rId1"/>
  </sheets>
  <definedNames>
    <definedName name="_xlnm._FilterDatabase" localSheetId="0" hidden="1">丰宇!$A$3:$J$146</definedName>
    <definedName name="_xlnm.Print_Area" localSheetId="0">丰宇!$A$1:$K$146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<sst xmlns="http://schemas.openxmlformats.org/spreadsheetml/2006/main" count="597" uniqueCount="108">
  <si>
    <t>宁波丰宇 对账单</t>
  </si>
  <si>
    <t>截止日期：2025.12.13</t>
  </si>
  <si>
    <t>TOTAL</t>
  </si>
  <si>
    <t>账单占比 7.13%</t>
  </si>
  <si>
    <t>制单日期</t>
  </si>
  <si>
    <t>客户</t>
  </si>
  <si>
    <t>订单编号</t>
  </si>
  <si>
    <t>款号</t>
  </si>
  <si>
    <t>产品物料名称</t>
  </si>
  <si>
    <t>总销售数量</t>
  </si>
  <si>
    <t>单价</t>
  </si>
  <si>
    <t>金额</t>
  </si>
  <si>
    <t>成衣出货数量</t>
  </si>
  <si>
    <t>差额</t>
  </si>
  <si>
    <t>宁波丰宇服装有限公司</t>
  </si>
  <si>
    <t>S25060837</t>
  </si>
  <si>
    <t>F5928AX</t>
  </si>
  <si>
    <t>LOT 中包贴</t>
  </si>
  <si>
    <t>主标</t>
  </si>
  <si>
    <t>F5928 总货款8285.51，  差额609.43， 占7%</t>
  </si>
  <si>
    <t>条码标</t>
  </si>
  <si>
    <t>价格牌</t>
  </si>
  <si>
    <t>S25061053</t>
  </si>
  <si>
    <t>F5928AX（加单）</t>
  </si>
  <si>
    <t>俄罗斯白俄罗斯洗标</t>
  </si>
  <si>
    <t>洗标</t>
  </si>
  <si>
    <t>S25070166</t>
  </si>
  <si>
    <t>F5928AX（待定）</t>
  </si>
  <si>
    <t>挂牌背面贴纸</t>
  </si>
  <si>
    <t>吊牌/空白价格牌</t>
  </si>
  <si>
    <t>S25080302</t>
  </si>
  <si>
    <t>箱贴</t>
  </si>
  <si>
    <t>S25081155</t>
  </si>
  <si>
    <t>E9895AX</t>
  </si>
  <si>
    <t>尺码主标</t>
  </si>
  <si>
    <t>E9913AX</t>
  </si>
  <si>
    <t>F6510AX</t>
  </si>
  <si>
    <t>F6510,总货款1383.16，差额215.87，16%</t>
  </si>
  <si>
    <t>S25081383</t>
  </si>
  <si>
    <t>G0884AX</t>
  </si>
  <si>
    <t>S25081471</t>
  </si>
  <si>
    <t>S25090021</t>
  </si>
  <si>
    <t>E9889AX</t>
  </si>
  <si>
    <t>E1639AX</t>
  </si>
  <si>
    <t>S25090224</t>
  </si>
  <si>
    <t>G0844AX</t>
  </si>
  <si>
    <t>S25090299</t>
  </si>
  <si>
    <t>S25090365</t>
  </si>
  <si>
    <t>G3280AX</t>
  </si>
  <si>
    <t>G2919AX</t>
  </si>
  <si>
    <t>G2876AX</t>
  </si>
  <si>
    <t>G1946AX</t>
  </si>
  <si>
    <t>G1945AX</t>
  </si>
  <si>
    <t>S25090449</t>
  </si>
  <si>
    <t>S25090646</t>
  </si>
  <si>
    <t>S25090985</t>
  </si>
  <si>
    <t>G1187AX</t>
  </si>
  <si>
    <t>尺码主标/DFBE1842</t>
  </si>
  <si>
    <t>F7427AX</t>
  </si>
  <si>
    <t>S25091181</t>
  </si>
  <si>
    <t>S25100371</t>
  </si>
  <si>
    <t>F6510AX-补单</t>
  </si>
  <si>
    <t>S25100501</t>
  </si>
  <si>
    <t>S25100848</t>
  </si>
  <si>
    <t>F6510AX -追加单</t>
  </si>
  <si>
    <t>S25101022</t>
  </si>
  <si>
    <t>E9889AX-加单</t>
  </si>
  <si>
    <t>S25101191</t>
  </si>
  <si>
    <t>S25101192</t>
  </si>
  <si>
    <t>S25101194</t>
  </si>
  <si>
    <t>E1639AX-特殊国家</t>
  </si>
  <si>
    <t>E9889AX-特殊国家</t>
  </si>
  <si>
    <t>F7427AX-特殊国家</t>
  </si>
  <si>
    <t>G1187AX-特殊国家</t>
  </si>
  <si>
    <t>G2876AX-特殊国家</t>
  </si>
  <si>
    <t>G2919AX-特殊国家</t>
  </si>
  <si>
    <t>G3280AX-特殊国家</t>
  </si>
  <si>
    <t>S25101285</t>
  </si>
  <si>
    <t>G1945AX-特殊国家</t>
  </si>
  <si>
    <t>吊牌</t>
  </si>
  <si>
    <t>S25101286</t>
  </si>
  <si>
    <t>G1946AX-特殊国家</t>
  </si>
  <si>
    <t>S25110134</t>
  </si>
  <si>
    <t>S25110387</t>
  </si>
  <si>
    <t>E1639AX 补料</t>
  </si>
  <si>
    <t>S25111079</t>
  </si>
  <si>
    <t>F7431AX</t>
  </si>
  <si>
    <t>S25111080</t>
  </si>
  <si>
    <t>F7486AX</t>
  </si>
  <si>
    <t>S25111345</t>
  </si>
  <si>
    <t>G1946AX 补数</t>
  </si>
  <si>
    <t>S25112038</t>
  </si>
  <si>
    <t>S25112153</t>
  </si>
  <si>
    <t>F7431AX 特殊国家</t>
  </si>
  <si>
    <t>F7486AX 特殊国家</t>
  </si>
  <si>
    <t>S25112155</t>
  </si>
  <si>
    <t>G1945AX 翻单</t>
  </si>
  <si>
    <t>黑色吊牌绳</t>
  </si>
  <si>
    <t>S25112163</t>
  </si>
  <si>
    <t>G1946AX 翻单</t>
  </si>
  <si>
    <t>S25120389</t>
  </si>
  <si>
    <t>宁波丰宇服装有限公司 开票明细</t>
  </si>
  <si>
    <t>品名</t>
  </si>
  <si>
    <t>数量</t>
  </si>
  <si>
    <t>单位</t>
  </si>
  <si>
    <t>商标</t>
  </si>
  <si>
    <t xml:space="preserve">套 </t>
  </si>
  <si>
    <t xml:space="preserve"> S号太多，无需备注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</si>
</sst>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0"/>
    </font>
    <font>
      <sz val="11"/>
      <color rgb="FFFF0000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color theme="4" tint="-0.25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4" tint="-0.25"/>
      <name val="宋体"/>
      <charset val="134"/>
      <scheme val="minor"/>
    </font>
    <font>
      <sz val="12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27" fillId="8" borderId="5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43" fontId="0" fillId="0" borderId="0" xfId="0" applyNumberFormat="1">
      <alignment vertical="center"/>
    </xf>
    <xf numFmtId="0" fontId="5" fillId="0" borderId="0" xfId="0" applyFont="1">
      <alignment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/>
    <xf numFmtId="177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0" fontId="3" fillId="0" borderId="0" xfId="3" applyNumberFormat="1" applyFont="1" applyFill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3" fontId="0" fillId="4" borderId="1" xfId="0" applyNumberForma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9" fontId="5" fillId="0" borderId="0" xfId="3" applyFont="1" applyFill="1" applyAlignment="1">
      <alignment vertical="center"/>
    </xf>
    <xf numFmtId="0" fontId="15" fillId="0" borderId="0" xfId="0" applyFont="1" applyFill="1" applyAlignment="1">
      <alignment vertical="center"/>
    </xf>
    <xf numFmtId="9" fontId="0" fillId="0" borderId="0" xfId="3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9" fontId="16" fillId="0" borderId="0" xfId="3" applyFont="1" applyFill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412750</xdr:colOff>
      <xdr:row>80</xdr:row>
      <xdr:rowOff>95250</xdr:rowOff>
    </xdr:from>
    <xdr:to>
      <xdr:col>22</xdr:col>
      <xdr:colOff>590550</xdr:colOff>
      <xdr:row>111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5500" y="14928850"/>
          <a:ext cx="3638550" cy="588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1"/>
  <sheetViews>
    <sheetView tabSelected="1" zoomScale="130" zoomScaleNormal="130" topLeftCell="B1" workbookViewId="0">
      <pane ySplit="3" topLeftCell="A141" activePane="bottomLeft" state="frozen"/>
      <selection/>
      <selection pane="bottomLeft" activeCell="G153" sqref="G153"/>
    </sheetView>
  </sheetViews>
  <sheetFormatPr defaultColWidth="8.72727272727273" defaultRowHeight="14"/>
  <cols>
    <col min="1" max="1" width="12" customWidth="1"/>
    <col min="2" max="2" width="23" customWidth="1"/>
    <col min="3" max="3" width="10.6363636363636" customWidth="1"/>
    <col min="4" max="4" width="17.3636363636364" customWidth="1"/>
    <col min="5" max="5" width="20.8181818181818" customWidth="1"/>
    <col min="6" max="6" width="11.8181818181818" customWidth="1"/>
    <col min="7" max="7" width="10.2727272727273" customWidth="1"/>
    <col min="8" max="8" width="15" customWidth="1"/>
    <col min="9" max="9" width="13.4545454545455" hidden="1" customWidth="1"/>
    <col min="10" max="10" width="15.3636363636364" hidden="1" customWidth="1"/>
    <col min="11" max="11" width="15.1818181818182" style="6" hidden="1" customWidth="1"/>
    <col min="12" max="12" width="8.72727272727273" hidden="1" customWidth="1"/>
    <col min="13" max="13" width="8.72727272727273" style="7" hidden="1" customWidth="1"/>
    <col min="14" max="14" width="6.09090909090909" style="7" hidden="1" customWidth="1"/>
    <col min="15" max="15" width="8.72727272727273" hidden="1" customWidth="1"/>
    <col min="16" max="16" width="14" hidden="1" customWidth="1"/>
    <col min="17" max="17" width="12.8181818181818" hidden="1" customWidth="1"/>
  </cols>
  <sheetData>
    <row r="1" s="1" customFormat="1" ht="22" customHeight="1" spans="1:17">
      <c r="A1" s="8"/>
      <c r="B1" s="9" t="s">
        <v>0</v>
      </c>
      <c r="C1" s="10"/>
      <c r="D1" s="10"/>
      <c r="E1" s="10"/>
      <c r="F1" s="10"/>
      <c r="G1" s="11" t="s">
        <v>1</v>
      </c>
      <c r="H1" s="11"/>
      <c r="I1" s="11"/>
      <c r="J1" s="12"/>
      <c r="K1" s="13"/>
      <c r="M1" s="14"/>
      <c r="N1" s="14"/>
    </row>
    <row r="2" s="2" customFormat="1" ht="29" customHeight="1" spans="1:17">
      <c r="A2" s="15"/>
      <c r="B2" s="16"/>
      <c r="C2" s="17"/>
      <c r="D2" s="17"/>
      <c r="E2" s="18" t="s">
        <v>2</v>
      </c>
      <c r="F2" s="18">
        <f t="shared" ref="F2:K2" si="0">SUBTOTAL(9,F4:F146)</f>
        <v>213617</v>
      </c>
      <c r="G2" s="19"/>
      <c r="H2" s="20">
        <f t="shared" si="0"/>
        <v>42759.03</v>
      </c>
      <c r="I2" s="18">
        <f t="shared" si="0"/>
        <v>198633</v>
      </c>
      <c r="J2" s="20">
        <f t="shared" si="0"/>
        <v>39712.105</v>
      </c>
      <c r="K2" s="20">
        <f t="shared" si="0"/>
        <v>3046.925</v>
      </c>
      <c r="P2" s="21" t="s">
        <v>3</v>
      </c>
    </row>
    <row r="3" s="3" customFormat="1" spans="1:17">
      <c r="A3" s="22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4" t="s">
        <v>12</v>
      </c>
      <c r="J3" s="24" t="s">
        <v>11</v>
      </c>
      <c r="K3" s="25" t="s">
        <v>13</v>
      </c>
      <c r="M3" s="26"/>
      <c r="N3" s="26"/>
      <c r="P3" s="27"/>
    </row>
    <row r="4" s="4" customFormat="1" outlineLevel="2" spans="1:17">
      <c r="A4" s="28">
        <v>45832.551076</v>
      </c>
      <c r="B4" s="29" t="s">
        <v>14</v>
      </c>
      <c r="C4" s="29" t="s">
        <v>15</v>
      </c>
      <c r="D4" s="29" t="s">
        <v>16</v>
      </c>
      <c r="E4" s="29" t="s">
        <v>17</v>
      </c>
      <c r="F4" s="29">
        <v>790</v>
      </c>
      <c r="G4" s="29">
        <v>0.35</v>
      </c>
      <c r="H4" s="29">
        <v>276.5</v>
      </c>
      <c r="I4" s="30">
        <v>790</v>
      </c>
      <c r="J4" s="30">
        <f t="shared" ref="J4:J67" si="1">G4*I4</f>
        <v>276.5</v>
      </c>
      <c r="K4" s="31">
        <f t="shared" ref="K4:K67" si="2">H4-J4</f>
        <v>0</v>
      </c>
      <c r="M4" s="32"/>
      <c r="N4" s="32"/>
    </row>
    <row r="5" s="4" customFormat="1" outlineLevel="2" spans="1:17">
      <c r="A5" s="28">
        <v>45832.551076</v>
      </c>
      <c r="B5" s="29" t="s">
        <v>14</v>
      </c>
      <c r="C5" s="29" t="s">
        <v>15</v>
      </c>
      <c r="D5" s="29" t="s">
        <v>16</v>
      </c>
      <c r="E5" s="29" t="s">
        <v>18</v>
      </c>
      <c r="F5" s="29">
        <v>8701</v>
      </c>
      <c r="G5" s="29">
        <v>0.36</v>
      </c>
      <c r="H5" s="29">
        <v>3132.36</v>
      </c>
      <c r="I5" s="30">
        <v>8539</v>
      </c>
      <c r="J5" s="30">
        <f t="shared" si="1"/>
        <v>3074.04</v>
      </c>
      <c r="K5" s="31">
        <f t="shared" si="2"/>
        <v>58.3200000000002</v>
      </c>
      <c r="M5" s="32">
        <f>9051-8539</f>
        <v>512</v>
      </c>
      <c r="N5" s="33">
        <f>M5/9051</f>
        <v>0.0565683349906088</v>
      </c>
      <c r="P5" s="34" t="s">
        <v>19</v>
      </c>
    </row>
    <row r="6" s="4" customFormat="1" outlineLevel="2" spans="1:17">
      <c r="A6" s="28">
        <v>45832.551076</v>
      </c>
      <c r="B6" s="29" t="s">
        <v>14</v>
      </c>
      <c r="C6" s="29" t="s">
        <v>15</v>
      </c>
      <c r="D6" s="29" t="s">
        <v>16</v>
      </c>
      <c r="E6" s="29" t="s">
        <v>20</v>
      </c>
      <c r="F6" s="29">
        <v>8701</v>
      </c>
      <c r="G6" s="29">
        <v>0.065</v>
      </c>
      <c r="H6" s="29">
        <v>565.57</v>
      </c>
      <c r="I6" s="30">
        <v>8539</v>
      </c>
      <c r="J6" s="30">
        <f t="shared" si="1"/>
        <v>555.035</v>
      </c>
      <c r="K6" s="31">
        <f t="shared" si="2"/>
        <v>10.5350000000001</v>
      </c>
      <c r="M6" s="32"/>
      <c r="N6" s="32"/>
    </row>
    <row r="7" s="4" customFormat="1" outlineLevel="2" spans="1:17">
      <c r="A7" s="28">
        <v>45832.551076</v>
      </c>
      <c r="B7" s="29" t="s">
        <v>14</v>
      </c>
      <c r="C7" s="29" t="s">
        <v>15</v>
      </c>
      <c r="D7" s="29" t="s">
        <v>16</v>
      </c>
      <c r="E7" s="29" t="s">
        <v>21</v>
      </c>
      <c r="F7" s="29">
        <v>5858</v>
      </c>
      <c r="G7" s="29">
        <v>0.17</v>
      </c>
      <c r="H7" s="29">
        <v>995.86</v>
      </c>
      <c r="I7" s="30">
        <v>5858</v>
      </c>
      <c r="J7" s="30">
        <f t="shared" si="1"/>
        <v>995.86</v>
      </c>
      <c r="K7" s="31">
        <f t="shared" si="2"/>
        <v>0</v>
      </c>
      <c r="M7" s="32">
        <f>9331-8539</f>
        <v>792</v>
      </c>
      <c r="N7" s="33">
        <f>M7/9331</f>
        <v>0.0848783624477548</v>
      </c>
      <c r="Q7" s="35"/>
    </row>
    <row r="8" s="4" customFormat="1" outlineLevel="2" spans="1:17">
      <c r="A8" s="28">
        <v>45838.435266</v>
      </c>
      <c r="B8" s="29" t="s">
        <v>14</v>
      </c>
      <c r="C8" s="29" t="s">
        <v>22</v>
      </c>
      <c r="D8" s="29" t="s">
        <v>23</v>
      </c>
      <c r="E8" s="29" t="s">
        <v>20</v>
      </c>
      <c r="F8" s="29">
        <v>1050</v>
      </c>
      <c r="G8" s="29">
        <v>0.065</v>
      </c>
      <c r="H8" s="29">
        <v>68.25</v>
      </c>
      <c r="I8" s="30">
        <v>0</v>
      </c>
      <c r="J8" s="30">
        <f t="shared" si="1"/>
        <v>0</v>
      </c>
      <c r="K8" s="31">
        <f t="shared" si="2"/>
        <v>68.25</v>
      </c>
      <c r="M8" s="32"/>
      <c r="N8" s="32"/>
    </row>
    <row r="9" s="4" customFormat="1" outlineLevel="2" spans="1:17">
      <c r="A9" s="28">
        <v>45838.435266</v>
      </c>
      <c r="B9" s="29" t="s">
        <v>14</v>
      </c>
      <c r="C9" s="29" t="s">
        <v>22</v>
      </c>
      <c r="D9" s="29" t="s">
        <v>16</v>
      </c>
      <c r="E9" s="29" t="s">
        <v>24</v>
      </c>
      <c r="F9" s="29">
        <v>1166</v>
      </c>
      <c r="G9" s="29">
        <v>0.24</v>
      </c>
      <c r="H9" s="29">
        <v>279.84</v>
      </c>
      <c r="I9" s="30">
        <v>1166</v>
      </c>
      <c r="J9" s="30">
        <f t="shared" si="1"/>
        <v>279.84</v>
      </c>
      <c r="K9" s="31">
        <f t="shared" si="2"/>
        <v>0</v>
      </c>
      <c r="M9" s="32"/>
      <c r="N9" s="32"/>
    </row>
    <row r="10" s="4" customFormat="1" outlineLevel="2" spans="1:17">
      <c r="A10" s="28">
        <v>45838.435266</v>
      </c>
      <c r="B10" s="29" t="s">
        <v>14</v>
      </c>
      <c r="C10" s="29" t="s">
        <v>22</v>
      </c>
      <c r="D10" s="29" t="s">
        <v>16</v>
      </c>
      <c r="E10" s="29" t="s">
        <v>25</v>
      </c>
      <c r="F10" s="29">
        <v>8255</v>
      </c>
      <c r="G10" s="29">
        <v>0.24</v>
      </c>
      <c r="H10" s="29">
        <v>1981.2</v>
      </c>
      <c r="I10" s="30">
        <f>8539-I9</f>
        <v>7373</v>
      </c>
      <c r="J10" s="30">
        <f t="shared" si="1"/>
        <v>1769.52</v>
      </c>
      <c r="K10" s="31">
        <f t="shared" si="2"/>
        <v>211.68</v>
      </c>
      <c r="M10" s="32">
        <f>9421-8539</f>
        <v>882</v>
      </c>
      <c r="N10" s="33">
        <f>M10/9421</f>
        <v>0.0936206347521494</v>
      </c>
    </row>
    <row r="11" s="4" customFormat="1" outlineLevel="2" spans="1:17">
      <c r="A11" s="28">
        <v>45838.435266</v>
      </c>
      <c r="B11" s="29" t="s">
        <v>14</v>
      </c>
      <c r="C11" s="29" t="s">
        <v>22</v>
      </c>
      <c r="D11" s="29" t="s">
        <v>23</v>
      </c>
      <c r="E11" s="29" t="s">
        <v>21</v>
      </c>
      <c r="F11" s="29">
        <v>630</v>
      </c>
      <c r="G11" s="29">
        <v>0.17</v>
      </c>
      <c r="H11" s="29">
        <v>107.1</v>
      </c>
      <c r="I11" s="30">
        <v>630</v>
      </c>
      <c r="J11" s="30">
        <f t="shared" si="1"/>
        <v>107.1</v>
      </c>
      <c r="K11" s="31">
        <f t="shared" si="2"/>
        <v>0</v>
      </c>
      <c r="M11" s="32"/>
      <c r="N11" s="32"/>
    </row>
    <row r="12" s="4" customFormat="1" outlineLevel="2" spans="1:17">
      <c r="A12" s="28">
        <v>45838.435266</v>
      </c>
      <c r="B12" s="29" t="s">
        <v>14</v>
      </c>
      <c r="C12" s="29" t="s">
        <v>22</v>
      </c>
      <c r="D12" s="29" t="s">
        <v>23</v>
      </c>
      <c r="E12" s="29" t="s">
        <v>18</v>
      </c>
      <c r="F12" s="29">
        <v>350</v>
      </c>
      <c r="G12" s="29">
        <v>0.36</v>
      </c>
      <c r="H12" s="29">
        <v>126</v>
      </c>
      <c r="I12" s="30">
        <v>0</v>
      </c>
      <c r="J12" s="30">
        <f t="shared" si="1"/>
        <v>0</v>
      </c>
      <c r="K12" s="31">
        <f t="shared" si="2"/>
        <v>126</v>
      </c>
      <c r="M12" s="32"/>
      <c r="N12" s="32"/>
    </row>
    <row r="13" s="4" customFormat="1" outlineLevel="2" spans="1:17">
      <c r="A13" s="28">
        <v>45842.718981</v>
      </c>
      <c r="B13" s="29" t="s">
        <v>14</v>
      </c>
      <c r="C13" s="29" t="s">
        <v>26</v>
      </c>
      <c r="D13" s="29" t="s">
        <v>27</v>
      </c>
      <c r="E13" s="29" t="s">
        <v>21</v>
      </c>
      <c r="F13" s="29">
        <v>2274</v>
      </c>
      <c r="G13" s="29">
        <v>0.17</v>
      </c>
      <c r="H13" s="29">
        <v>386.58</v>
      </c>
      <c r="I13" s="30">
        <f>8539-I7-I11</f>
        <v>2051</v>
      </c>
      <c r="J13" s="30">
        <f t="shared" si="1"/>
        <v>348.67</v>
      </c>
      <c r="K13" s="31">
        <f t="shared" si="2"/>
        <v>37.91</v>
      </c>
      <c r="M13" s="32"/>
      <c r="N13" s="32"/>
    </row>
    <row r="14" s="4" customFormat="1" outlineLevel="2" spans="1:17">
      <c r="A14" s="28">
        <v>45842.718981</v>
      </c>
      <c r="B14" s="29" t="s">
        <v>14</v>
      </c>
      <c r="C14" s="29" t="s">
        <v>26</v>
      </c>
      <c r="D14" s="29" t="s">
        <v>27</v>
      </c>
      <c r="E14" s="29" t="s">
        <v>28</v>
      </c>
      <c r="F14" s="29">
        <v>569</v>
      </c>
      <c r="G14" s="29">
        <v>0.08</v>
      </c>
      <c r="H14" s="29">
        <v>45.52</v>
      </c>
      <c r="I14" s="30">
        <v>569</v>
      </c>
      <c r="J14" s="30">
        <f t="shared" si="1"/>
        <v>45.52</v>
      </c>
      <c r="K14" s="31">
        <f t="shared" si="2"/>
        <v>0</v>
      </c>
      <c r="M14" s="32"/>
      <c r="N14" s="32"/>
    </row>
    <row r="15" s="4" customFormat="1" outlineLevel="2" spans="1:17">
      <c r="A15" s="28">
        <v>45842.718981</v>
      </c>
      <c r="B15" s="29" t="s">
        <v>14</v>
      </c>
      <c r="C15" s="29" t="s">
        <v>26</v>
      </c>
      <c r="D15" s="29" t="s">
        <v>27</v>
      </c>
      <c r="E15" s="29" t="s">
        <v>29</v>
      </c>
      <c r="F15" s="29">
        <v>569</v>
      </c>
      <c r="G15" s="29">
        <v>0.17</v>
      </c>
      <c r="H15" s="29">
        <v>96.73</v>
      </c>
      <c r="I15" s="30">
        <v>0</v>
      </c>
      <c r="J15" s="30">
        <f t="shared" si="1"/>
        <v>0</v>
      </c>
      <c r="K15" s="31">
        <f t="shared" si="2"/>
        <v>96.73</v>
      </c>
      <c r="M15" s="32"/>
      <c r="N15" s="32"/>
    </row>
    <row r="16" s="4" customFormat="1" outlineLevel="2" spans="1:17">
      <c r="A16" s="28">
        <v>45876.423669</v>
      </c>
      <c r="B16" s="29" t="s">
        <v>14</v>
      </c>
      <c r="C16" s="29" t="s">
        <v>30</v>
      </c>
      <c r="D16" s="29" t="s">
        <v>16</v>
      </c>
      <c r="E16" s="29" t="s">
        <v>20</v>
      </c>
      <c r="F16" s="29">
        <v>280</v>
      </c>
      <c r="G16" s="29">
        <v>0.12</v>
      </c>
      <c r="H16" s="29">
        <v>33.6</v>
      </c>
      <c r="I16" s="30">
        <v>280</v>
      </c>
      <c r="J16" s="30">
        <f t="shared" si="1"/>
        <v>33.6</v>
      </c>
      <c r="K16" s="31">
        <f t="shared" si="2"/>
        <v>0</v>
      </c>
      <c r="M16" s="32"/>
      <c r="N16" s="32"/>
    </row>
    <row r="17" s="4" customFormat="1" outlineLevel="2" spans="1:16">
      <c r="A17" s="28">
        <v>45876.423669</v>
      </c>
      <c r="B17" s="29" t="s">
        <v>14</v>
      </c>
      <c r="C17" s="29" t="s">
        <v>30</v>
      </c>
      <c r="D17" s="29" t="s">
        <v>16</v>
      </c>
      <c r="E17" s="29" t="s">
        <v>31</v>
      </c>
      <c r="F17" s="29">
        <v>544</v>
      </c>
      <c r="G17" s="29">
        <v>0.35</v>
      </c>
      <c r="H17" s="29">
        <v>190.4</v>
      </c>
      <c r="I17" s="30">
        <v>544</v>
      </c>
      <c r="J17" s="30">
        <f t="shared" si="1"/>
        <v>190.4</v>
      </c>
      <c r="K17" s="31">
        <f t="shared" si="2"/>
        <v>0</v>
      </c>
      <c r="M17" s="32"/>
      <c r="N17" s="32"/>
    </row>
    <row r="18" s="4" customFormat="1" outlineLevel="2" spans="1:16">
      <c r="A18" s="28">
        <v>45894.614549</v>
      </c>
      <c r="B18" s="29" t="s">
        <v>14</v>
      </c>
      <c r="C18" s="29" t="s">
        <v>32</v>
      </c>
      <c r="D18" s="29" t="s">
        <v>33</v>
      </c>
      <c r="E18" s="29" t="s">
        <v>34</v>
      </c>
      <c r="F18" s="29">
        <v>1181</v>
      </c>
      <c r="G18" s="29">
        <v>0.38</v>
      </c>
      <c r="H18" s="29">
        <v>448.78</v>
      </c>
      <c r="I18" s="30">
        <v>1058</v>
      </c>
      <c r="J18" s="30">
        <f t="shared" si="1"/>
        <v>402.04</v>
      </c>
      <c r="K18" s="31">
        <f t="shared" si="2"/>
        <v>46.74</v>
      </c>
      <c r="M18" s="32"/>
      <c r="N18" s="32"/>
    </row>
    <row r="19" s="4" customFormat="1" outlineLevel="2" spans="1:16">
      <c r="A19" s="28">
        <v>45894.614549</v>
      </c>
      <c r="B19" s="29" t="s">
        <v>14</v>
      </c>
      <c r="C19" s="29" t="s">
        <v>32</v>
      </c>
      <c r="D19" s="29" t="s">
        <v>35</v>
      </c>
      <c r="E19" s="29" t="s">
        <v>18</v>
      </c>
      <c r="F19" s="29">
        <v>2178</v>
      </c>
      <c r="G19" s="29">
        <v>0.36</v>
      </c>
      <c r="H19" s="29">
        <v>784.08</v>
      </c>
      <c r="I19" s="30">
        <v>2160</v>
      </c>
      <c r="J19" s="30">
        <f t="shared" si="1"/>
        <v>777.6</v>
      </c>
      <c r="K19" s="31">
        <f t="shared" si="2"/>
        <v>6.48000000000002</v>
      </c>
      <c r="M19" s="32"/>
      <c r="N19" s="32"/>
    </row>
    <row r="20" s="4" customFormat="1" outlineLevel="2" spans="1:16">
      <c r="A20" s="28">
        <v>45894.614549</v>
      </c>
      <c r="B20" s="29" t="s">
        <v>14</v>
      </c>
      <c r="C20" s="29" t="s">
        <v>32</v>
      </c>
      <c r="D20" s="29" t="s">
        <v>36</v>
      </c>
      <c r="E20" s="29" t="s">
        <v>34</v>
      </c>
      <c r="F20" s="29">
        <v>1195</v>
      </c>
      <c r="G20" s="29">
        <v>0.38</v>
      </c>
      <c r="H20" s="29">
        <v>454.1</v>
      </c>
      <c r="I20" s="30">
        <v>1195</v>
      </c>
      <c r="J20" s="30">
        <f t="shared" si="1"/>
        <v>454.1</v>
      </c>
      <c r="K20" s="31">
        <f t="shared" si="2"/>
        <v>0</v>
      </c>
      <c r="M20" s="32">
        <f>1658-1319</f>
        <v>339</v>
      </c>
      <c r="N20" s="33">
        <f>M20/1658</f>
        <v>0.204463208685163</v>
      </c>
      <c r="P20" s="34" t="s">
        <v>37</v>
      </c>
    </row>
    <row r="21" s="4" customFormat="1" outlineLevel="2" spans="1:16">
      <c r="A21" s="28">
        <v>45897.68941</v>
      </c>
      <c r="B21" s="29" t="s">
        <v>14</v>
      </c>
      <c r="C21" s="29" t="s">
        <v>38</v>
      </c>
      <c r="D21" s="29" t="s">
        <v>39</v>
      </c>
      <c r="E21" s="29" t="s">
        <v>34</v>
      </c>
      <c r="F21" s="29">
        <v>2171</v>
      </c>
      <c r="G21" s="29">
        <v>0.38</v>
      </c>
      <c r="H21" s="29">
        <v>824.98</v>
      </c>
      <c r="I21" s="30">
        <v>1969</v>
      </c>
      <c r="J21" s="30">
        <f t="shared" si="1"/>
        <v>748.22</v>
      </c>
      <c r="K21" s="31">
        <f t="shared" si="2"/>
        <v>76.76</v>
      </c>
      <c r="M21" s="32"/>
      <c r="N21" s="32"/>
    </row>
    <row r="22" s="4" customFormat="1" outlineLevel="2" spans="1:16">
      <c r="A22" s="28">
        <v>45898.761354</v>
      </c>
      <c r="B22" s="29" t="s">
        <v>14</v>
      </c>
      <c r="C22" s="29" t="s">
        <v>40</v>
      </c>
      <c r="D22" s="29" t="s">
        <v>33</v>
      </c>
      <c r="E22" s="29" t="s">
        <v>17</v>
      </c>
      <c r="F22" s="29">
        <v>100</v>
      </c>
      <c r="G22" s="29">
        <v>0.35</v>
      </c>
      <c r="H22" s="29">
        <v>35</v>
      </c>
      <c r="I22" s="30">
        <v>100</v>
      </c>
      <c r="J22" s="30">
        <f t="shared" si="1"/>
        <v>35</v>
      </c>
      <c r="K22" s="31">
        <f t="shared" si="2"/>
        <v>0</v>
      </c>
      <c r="M22" s="32"/>
      <c r="N22" s="32"/>
    </row>
    <row r="23" s="4" customFormat="1" outlineLevel="2" spans="1:16">
      <c r="A23" s="28">
        <v>45898.761354</v>
      </c>
      <c r="B23" s="29" t="s">
        <v>14</v>
      </c>
      <c r="C23" s="29" t="s">
        <v>40</v>
      </c>
      <c r="D23" s="29" t="s">
        <v>33</v>
      </c>
      <c r="E23" s="29" t="s">
        <v>25</v>
      </c>
      <c r="F23" s="29">
        <v>1181</v>
      </c>
      <c r="G23" s="29">
        <v>0.16</v>
      </c>
      <c r="H23" s="29">
        <v>188.96</v>
      </c>
      <c r="I23" s="30">
        <v>1058</v>
      </c>
      <c r="J23" s="30">
        <f t="shared" si="1"/>
        <v>169.28</v>
      </c>
      <c r="K23" s="31">
        <f t="shared" si="2"/>
        <v>19.68</v>
      </c>
      <c r="M23" s="32"/>
      <c r="N23" s="32"/>
    </row>
    <row r="24" s="4" customFormat="1" outlineLevel="2" spans="1:16">
      <c r="A24" s="28">
        <v>45898.761354</v>
      </c>
      <c r="B24" s="29" t="s">
        <v>14</v>
      </c>
      <c r="C24" s="29" t="s">
        <v>40</v>
      </c>
      <c r="D24" s="29" t="s">
        <v>33</v>
      </c>
      <c r="E24" s="29" t="s">
        <v>20</v>
      </c>
      <c r="F24" s="29">
        <v>1181</v>
      </c>
      <c r="G24" s="29">
        <v>0.065</v>
      </c>
      <c r="H24" s="29">
        <v>76.77</v>
      </c>
      <c r="I24" s="30">
        <v>1058</v>
      </c>
      <c r="J24" s="30">
        <f t="shared" si="1"/>
        <v>68.77</v>
      </c>
      <c r="K24" s="31">
        <f t="shared" si="2"/>
        <v>8</v>
      </c>
      <c r="M24" s="32"/>
      <c r="N24" s="32"/>
    </row>
    <row r="25" s="4" customFormat="1" outlineLevel="2" spans="1:16">
      <c r="A25" s="28">
        <v>45898.761354</v>
      </c>
      <c r="B25" s="29" t="s">
        <v>14</v>
      </c>
      <c r="C25" s="29" t="s">
        <v>40</v>
      </c>
      <c r="D25" s="29" t="s">
        <v>33</v>
      </c>
      <c r="E25" s="29" t="s">
        <v>21</v>
      </c>
      <c r="F25" s="29">
        <v>1181</v>
      </c>
      <c r="G25" s="29">
        <v>0.17</v>
      </c>
      <c r="H25" s="29">
        <v>200.77</v>
      </c>
      <c r="I25" s="30">
        <v>1058</v>
      </c>
      <c r="J25" s="30">
        <f t="shared" si="1"/>
        <v>179.86</v>
      </c>
      <c r="K25" s="31">
        <f t="shared" si="2"/>
        <v>20.91</v>
      </c>
      <c r="M25" s="32"/>
      <c r="N25" s="32"/>
    </row>
    <row r="26" s="4" customFormat="1" outlineLevel="2" spans="1:16">
      <c r="A26" s="28">
        <v>45901.472708</v>
      </c>
      <c r="B26" s="29" t="s">
        <v>14</v>
      </c>
      <c r="C26" s="29" t="s">
        <v>41</v>
      </c>
      <c r="D26" s="29" t="s">
        <v>42</v>
      </c>
      <c r="E26" s="29" t="s">
        <v>18</v>
      </c>
      <c r="F26" s="29">
        <v>1521</v>
      </c>
      <c r="G26" s="29">
        <v>0.36</v>
      </c>
      <c r="H26" s="29">
        <v>547.56</v>
      </c>
      <c r="I26" s="30">
        <v>1341</v>
      </c>
      <c r="J26" s="30">
        <f t="shared" si="1"/>
        <v>482.76</v>
      </c>
      <c r="K26" s="31">
        <f t="shared" si="2"/>
        <v>64.8</v>
      </c>
      <c r="M26" s="32"/>
      <c r="N26" s="32"/>
    </row>
    <row r="27" s="4" customFormat="1" outlineLevel="2" spans="1:16">
      <c r="A27" s="28">
        <v>45901.472708</v>
      </c>
      <c r="B27" s="29" t="s">
        <v>14</v>
      </c>
      <c r="C27" s="29" t="s">
        <v>41</v>
      </c>
      <c r="D27" s="29" t="s">
        <v>43</v>
      </c>
      <c r="E27" s="29" t="s">
        <v>34</v>
      </c>
      <c r="F27" s="29">
        <v>1346</v>
      </c>
      <c r="G27" s="29">
        <v>0.38</v>
      </c>
      <c r="H27" s="29">
        <v>511.48</v>
      </c>
      <c r="I27" s="30">
        <v>1346</v>
      </c>
      <c r="J27" s="30">
        <f t="shared" si="1"/>
        <v>511.48</v>
      </c>
      <c r="K27" s="31">
        <f t="shared" si="2"/>
        <v>0</v>
      </c>
      <c r="M27" s="32"/>
      <c r="N27" s="32"/>
    </row>
    <row r="28" s="4" customFormat="1" outlineLevel="2" spans="1:16">
      <c r="A28" s="28">
        <v>45903.734109</v>
      </c>
      <c r="B28" s="29" t="s">
        <v>14</v>
      </c>
      <c r="C28" s="29" t="s">
        <v>44</v>
      </c>
      <c r="D28" s="29" t="s">
        <v>39</v>
      </c>
      <c r="E28" s="29" t="s">
        <v>20</v>
      </c>
      <c r="F28" s="29">
        <v>2171</v>
      </c>
      <c r="G28" s="29">
        <v>0.065</v>
      </c>
      <c r="H28" s="29">
        <v>141.12</v>
      </c>
      <c r="I28" s="30">
        <v>1969</v>
      </c>
      <c r="J28" s="30">
        <f t="shared" si="1"/>
        <v>127.985</v>
      </c>
      <c r="K28" s="31">
        <f t="shared" si="2"/>
        <v>13.135</v>
      </c>
      <c r="M28" s="32"/>
      <c r="N28" s="32"/>
    </row>
    <row r="29" s="4" customFormat="1" outlineLevel="2" spans="1:16">
      <c r="A29" s="28">
        <v>45903.734109</v>
      </c>
      <c r="B29" s="29" t="s">
        <v>14</v>
      </c>
      <c r="C29" s="29" t="s">
        <v>44</v>
      </c>
      <c r="D29" s="29" t="s">
        <v>39</v>
      </c>
      <c r="E29" s="29" t="s">
        <v>21</v>
      </c>
      <c r="F29" s="29">
        <v>1687</v>
      </c>
      <c r="G29" s="29">
        <v>0.17</v>
      </c>
      <c r="H29" s="29">
        <v>286.79</v>
      </c>
      <c r="I29" s="30">
        <v>1687</v>
      </c>
      <c r="J29" s="30">
        <f t="shared" si="1"/>
        <v>286.79</v>
      </c>
      <c r="K29" s="31">
        <f t="shared" si="2"/>
        <v>0</v>
      </c>
      <c r="M29" s="32"/>
      <c r="N29" s="32"/>
    </row>
    <row r="30" s="4" customFormat="1" outlineLevel="2" spans="1:16">
      <c r="A30" s="28">
        <v>45903.734109</v>
      </c>
      <c r="B30" s="29" t="s">
        <v>14</v>
      </c>
      <c r="C30" s="29" t="s">
        <v>44</v>
      </c>
      <c r="D30" s="29" t="s">
        <v>35</v>
      </c>
      <c r="E30" s="29" t="s">
        <v>17</v>
      </c>
      <c r="F30" s="29">
        <v>262</v>
      </c>
      <c r="G30" s="29">
        <v>0.35</v>
      </c>
      <c r="H30" s="29">
        <v>91.7</v>
      </c>
      <c r="I30" s="30">
        <v>262</v>
      </c>
      <c r="J30" s="30">
        <f t="shared" si="1"/>
        <v>91.7</v>
      </c>
      <c r="K30" s="31">
        <f t="shared" si="2"/>
        <v>0</v>
      </c>
      <c r="M30" s="32"/>
      <c r="N30" s="32"/>
    </row>
    <row r="31" s="4" customFormat="1" outlineLevel="2" spans="1:16">
      <c r="A31" s="28">
        <v>45903.734109</v>
      </c>
      <c r="B31" s="29" t="s">
        <v>14</v>
      </c>
      <c r="C31" s="29" t="s">
        <v>44</v>
      </c>
      <c r="D31" s="29" t="s">
        <v>35</v>
      </c>
      <c r="E31" s="29" t="s">
        <v>20</v>
      </c>
      <c r="F31" s="29">
        <v>2178</v>
      </c>
      <c r="G31" s="29">
        <v>0.065</v>
      </c>
      <c r="H31" s="29">
        <v>141.57</v>
      </c>
      <c r="I31" s="30">
        <v>2160</v>
      </c>
      <c r="J31" s="30">
        <f t="shared" si="1"/>
        <v>140.4</v>
      </c>
      <c r="K31" s="31">
        <f t="shared" si="2"/>
        <v>1.16999999999999</v>
      </c>
      <c r="M31" s="32"/>
      <c r="N31" s="32"/>
    </row>
    <row r="32" s="4" customFormat="1" outlineLevel="2" spans="1:16">
      <c r="A32" s="28">
        <v>45903.734109</v>
      </c>
      <c r="B32" s="29" t="s">
        <v>14</v>
      </c>
      <c r="C32" s="29" t="s">
        <v>44</v>
      </c>
      <c r="D32" s="29" t="s">
        <v>35</v>
      </c>
      <c r="E32" s="29" t="s">
        <v>21</v>
      </c>
      <c r="F32" s="29">
        <v>1692</v>
      </c>
      <c r="G32" s="29">
        <v>0.17</v>
      </c>
      <c r="H32" s="29">
        <v>287.64</v>
      </c>
      <c r="I32" s="30">
        <v>1692</v>
      </c>
      <c r="J32" s="30">
        <f t="shared" si="1"/>
        <v>287.64</v>
      </c>
      <c r="K32" s="31">
        <f t="shared" si="2"/>
        <v>0</v>
      </c>
      <c r="M32" s="32"/>
      <c r="N32" s="32"/>
    </row>
    <row r="33" s="4" customFormat="1" outlineLevel="2" spans="1:17">
      <c r="A33" s="28">
        <v>45903.734109</v>
      </c>
      <c r="B33" s="29" t="s">
        <v>14</v>
      </c>
      <c r="C33" s="29" t="s">
        <v>44</v>
      </c>
      <c r="D33" s="29" t="s">
        <v>42</v>
      </c>
      <c r="E33" s="29" t="s">
        <v>17</v>
      </c>
      <c r="F33" s="29">
        <v>167</v>
      </c>
      <c r="G33" s="29">
        <v>0.35</v>
      </c>
      <c r="H33" s="29">
        <v>58.45</v>
      </c>
      <c r="I33" s="30">
        <v>167</v>
      </c>
      <c r="J33" s="30">
        <f t="shared" si="1"/>
        <v>58.45</v>
      </c>
      <c r="K33" s="31">
        <f t="shared" si="2"/>
        <v>0</v>
      </c>
      <c r="M33" s="32"/>
      <c r="N33" s="32"/>
    </row>
    <row r="34" s="4" customFormat="1" outlineLevel="2" spans="1:17">
      <c r="A34" s="28">
        <v>45903.734109</v>
      </c>
      <c r="B34" s="29" t="s">
        <v>14</v>
      </c>
      <c r="C34" s="29" t="s">
        <v>44</v>
      </c>
      <c r="D34" s="29" t="s">
        <v>42</v>
      </c>
      <c r="E34" s="29" t="s">
        <v>20</v>
      </c>
      <c r="F34" s="29">
        <v>1521</v>
      </c>
      <c r="G34" s="29">
        <v>0.065</v>
      </c>
      <c r="H34" s="29">
        <v>98.87</v>
      </c>
      <c r="I34" s="30">
        <v>1341</v>
      </c>
      <c r="J34" s="30">
        <f t="shared" si="1"/>
        <v>87.165</v>
      </c>
      <c r="K34" s="31">
        <f t="shared" si="2"/>
        <v>11.705</v>
      </c>
      <c r="M34" s="32">
        <f>2992-2767</f>
        <v>225</v>
      </c>
      <c r="N34" s="33">
        <f>M34/2992</f>
        <v>0.0752005347593583</v>
      </c>
    </row>
    <row r="35" s="4" customFormat="1" outlineLevel="2" spans="1:17">
      <c r="A35" s="28">
        <v>45903.734109</v>
      </c>
      <c r="B35" s="29" t="s">
        <v>14</v>
      </c>
      <c r="C35" s="29" t="s">
        <v>44</v>
      </c>
      <c r="D35" s="29" t="s">
        <v>42</v>
      </c>
      <c r="E35" s="29" t="s">
        <v>21</v>
      </c>
      <c r="F35" s="29">
        <v>1044</v>
      </c>
      <c r="G35" s="29">
        <v>0.17</v>
      </c>
      <c r="H35" s="29">
        <v>177.48</v>
      </c>
      <c r="I35" s="30">
        <v>1044</v>
      </c>
      <c r="J35" s="30">
        <f t="shared" si="1"/>
        <v>177.48</v>
      </c>
      <c r="K35" s="31">
        <f t="shared" si="2"/>
        <v>0</v>
      </c>
      <c r="M35" s="32">
        <f>2979-2727</f>
        <v>252</v>
      </c>
      <c r="N35" s="33">
        <f>M35/2979</f>
        <v>0.0845921450151057</v>
      </c>
    </row>
    <row r="36" s="4" customFormat="1" outlineLevel="2" spans="1:17">
      <c r="A36" s="28">
        <v>45903.734109</v>
      </c>
      <c r="B36" s="29" t="s">
        <v>14</v>
      </c>
      <c r="C36" s="29" t="s">
        <v>44</v>
      </c>
      <c r="D36" s="29" t="s">
        <v>43</v>
      </c>
      <c r="E36" s="29" t="s">
        <v>17</v>
      </c>
      <c r="F36" s="29">
        <v>126</v>
      </c>
      <c r="G36" s="29">
        <v>0.35</v>
      </c>
      <c r="H36" s="29">
        <v>44.1</v>
      </c>
      <c r="I36" s="30">
        <v>126</v>
      </c>
      <c r="J36" s="30">
        <f t="shared" si="1"/>
        <v>44.1</v>
      </c>
      <c r="K36" s="31">
        <f t="shared" si="2"/>
        <v>0</v>
      </c>
      <c r="M36" s="32"/>
      <c r="N36" s="32"/>
    </row>
    <row r="37" s="4" customFormat="1" outlineLevel="2" spans="1:17">
      <c r="A37" s="28">
        <v>45903.734109</v>
      </c>
      <c r="B37" s="29" t="s">
        <v>14</v>
      </c>
      <c r="C37" s="29" t="s">
        <v>44</v>
      </c>
      <c r="D37" s="29" t="s">
        <v>43</v>
      </c>
      <c r="E37" s="29" t="s">
        <v>20</v>
      </c>
      <c r="F37" s="29">
        <v>1346</v>
      </c>
      <c r="G37" s="29">
        <v>0.065</v>
      </c>
      <c r="H37" s="29">
        <v>87.49</v>
      </c>
      <c r="I37" s="30">
        <v>1507</v>
      </c>
      <c r="J37" s="30">
        <f t="shared" si="1"/>
        <v>97.955</v>
      </c>
      <c r="K37" s="31">
        <f t="shared" si="2"/>
        <v>-10.465</v>
      </c>
      <c r="M37" s="32"/>
      <c r="N37" s="32"/>
    </row>
    <row r="38" s="4" customFormat="1" outlineLevel="2" spans="1:17">
      <c r="A38" s="28">
        <v>45903.734109</v>
      </c>
      <c r="B38" s="29" t="s">
        <v>14</v>
      </c>
      <c r="C38" s="29" t="s">
        <v>44</v>
      </c>
      <c r="D38" s="29" t="s">
        <v>43</v>
      </c>
      <c r="E38" s="29" t="s">
        <v>21</v>
      </c>
      <c r="F38" s="29">
        <v>1148</v>
      </c>
      <c r="G38" s="29">
        <v>0.17</v>
      </c>
      <c r="H38" s="29">
        <v>195.16</v>
      </c>
      <c r="I38" s="30">
        <v>1148</v>
      </c>
      <c r="J38" s="30">
        <f t="shared" si="1"/>
        <v>195.16</v>
      </c>
      <c r="K38" s="31">
        <f t="shared" si="2"/>
        <v>0</v>
      </c>
      <c r="M38" s="32"/>
      <c r="N38" s="32"/>
    </row>
    <row r="39" s="4" customFormat="1" outlineLevel="2" spans="1:17">
      <c r="A39" s="28">
        <v>45903.734109</v>
      </c>
      <c r="B39" s="29" t="s">
        <v>14</v>
      </c>
      <c r="C39" s="29" t="s">
        <v>44</v>
      </c>
      <c r="D39" s="29" t="s">
        <v>45</v>
      </c>
      <c r="E39" s="29" t="s">
        <v>17</v>
      </c>
      <c r="F39" s="29">
        <v>221</v>
      </c>
      <c r="G39" s="29">
        <v>0.35</v>
      </c>
      <c r="H39" s="29">
        <v>77.35</v>
      </c>
      <c r="I39" s="30">
        <v>221</v>
      </c>
      <c r="J39" s="30">
        <f t="shared" si="1"/>
        <v>77.35</v>
      </c>
      <c r="K39" s="31">
        <f t="shared" si="2"/>
        <v>0</v>
      </c>
      <c r="M39" s="32"/>
      <c r="N39" s="32"/>
    </row>
    <row r="40" s="4" customFormat="1" outlineLevel="2" spans="1:17">
      <c r="A40" s="28">
        <v>45904.769838</v>
      </c>
      <c r="B40" s="29" t="s">
        <v>14</v>
      </c>
      <c r="C40" s="29" t="s">
        <v>46</v>
      </c>
      <c r="D40" s="29" t="s">
        <v>36</v>
      </c>
      <c r="E40" s="29" t="s">
        <v>17</v>
      </c>
      <c r="F40" s="29">
        <v>113</v>
      </c>
      <c r="G40" s="29">
        <v>0.35</v>
      </c>
      <c r="H40" s="29">
        <v>39.55</v>
      </c>
      <c r="I40" s="30">
        <v>113</v>
      </c>
      <c r="J40" s="30">
        <f t="shared" si="1"/>
        <v>39.55</v>
      </c>
      <c r="K40" s="31">
        <f t="shared" si="2"/>
        <v>0</v>
      </c>
      <c r="M40" s="32"/>
      <c r="N40" s="32"/>
    </row>
    <row r="41" s="4" customFormat="1" outlineLevel="2" spans="1:17">
      <c r="A41" s="28">
        <v>45904.769838</v>
      </c>
      <c r="B41" s="29" t="s">
        <v>14</v>
      </c>
      <c r="C41" s="29" t="s">
        <v>46</v>
      </c>
      <c r="D41" s="29" t="s">
        <v>36</v>
      </c>
      <c r="E41" s="29" t="s">
        <v>20</v>
      </c>
      <c r="F41" s="29">
        <v>1195</v>
      </c>
      <c r="G41" s="29">
        <v>0.065</v>
      </c>
      <c r="H41" s="29">
        <v>77.68</v>
      </c>
      <c r="I41" s="30">
        <v>1195</v>
      </c>
      <c r="J41" s="30">
        <f t="shared" si="1"/>
        <v>77.675</v>
      </c>
      <c r="K41" s="31">
        <f t="shared" si="2"/>
        <v>0.00500000000000966</v>
      </c>
      <c r="M41" s="32">
        <f>1455-1319</f>
        <v>136</v>
      </c>
      <c r="N41" s="33">
        <f>M41/1455</f>
        <v>0.0934707903780069</v>
      </c>
      <c r="Q41" s="35"/>
    </row>
    <row r="42" s="4" customFormat="1" outlineLevel="2" spans="1:17">
      <c r="A42" s="28">
        <v>45904.769838</v>
      </c>
      <c r="B42" s="29" t="s">
        <v>14</v>
      </c>
      <c r="C42" s="29" t="s">
        <v>46</v>
      </c>
      <c r="D42" s="29" t="s">
        <v>36</v>
      </c>
      <c r="E42" s="29" t="s">
        <v>21</v>
      </c>
      <c r="F42" s="29">
        <v>953</v>
      </c>
      <c r="G42" s="29">
        <v>0.17</v>
      </c>
      <c r="H42" s="29">
        <v>162.01</v>
      </c>
      <c r="I42" s="30">
        <v>953</v>
      </c>
      <c r="J42" s="30">
        <f t="shared" si="1"/>
        <v>162.01</v>
      </c>
      <c r="K42" s="31">
        <f t="shared" si="2"/>
        <v>0</v>
      </c>
      <c r="M42" s="32">
        <f>1587-1319</f>
        <v>268</v>
      </c>
      <c r="N42" s="33">
        <f>M42/1587</f>
        <v>0.168872085696282</v>
      </c>
    </row>
    <row r="43" s="4" customFormat="1" outlineLevel="2" spans="1:17">
      <c r="A43" s="28">
        <v>45905.658646</v>
      </c>
      <c r="B43" s="29" t="s">
        <v>14</v>
      </c>
      <c r="C43" s="29" t="s">
        <v>47</v>
      </c>
      <c r="D43" s="29" t="s">
        <v>48</v>
      </c>
      <c r="E43" s="29" t="s">
        <v>34</v>
      </c>
      <c r="F43" s="29">
        <v>1544</v>
      </c>
      <c r="G43" s="29">
        <v>0.38</v>
      </c>
      <c r="H43" s="29">
        <v>586.72</v>
      </c>
      <c r="I43" s="30">
        <v>1364</v>
      </c>
      <c r="J43" s="30">
        <f t="shared" si="1"/>
        <v>518.32</v>
      </c>
      <c r="K43" s="31">
        <f t="shared" si="2"/>
        <v>68.4</v>
      </c>
      <c r="M43" s="32"/>
      <c r="N43" s="32"/>
    </row>
    <row r="44" s="4" customFormat="1" outlineLevel="2" spans="1:17">
      <c r="A44" s="28">
        <v>45905.658646</v>
      </c>
      <c r="B44" s="29" t="s">
        <v>14</v>
      </c>
      <c r="C44" s="29" t="s">
        <v>47</v>
      </c>
      <c r="D44" s="29" t="s">
        <v>49</v>
      </c>
      <c r="E44" s="29" t="s">
        <v>18</v>
      </c>
      <c r="F44" s="29">
        <v>3590</v>
      </c>
      <c r="G44" s="29">
        <v>0.36</v>
      </c>
      <c r="H44" s="29">
        <v>1292.4</v>
      </c>
      <c r="I44" s="30">
        <v>3410</v>
      </c>
      <c r="J44" s="30">
        <f t="shared" si="1"/>
        <v>1227.6</v>
      </c>
      <c r="K44" s="31">
        <f t="shared" si="2"/>
        <v>64.8000000000002</v>
      </c>
      <c r="M44" s="32"/>
      <c r="N44" s="32"/>
    </row>
    <row r="45" s="4" customFormat="1" outlineLevel="2" spans="1:17">
      <c r="A45" s="28">
        <v>45905.658646</v>
      </c>
      <c r="B45" s="29" t="s">
        <v>14</v>
      </c>
      <c r="C45" s="29" t="s">
        <v>47</v>
      </c>
      <c r="D45" s="29" t="s">
        <v>50</v>
      </c>
      <c r="E45" s="29" t="s">
        <v>34</v>
      </c>
      <c r="F45" s="29">
        <v>1544</v>
      </c>
      <c r="G45" s="29">
        <v>0.38</v>
      </c>
      <c r="H45" s="29">
        <v>586.72</v>
      </c>
      <c r="I45" s="30">
        <v>1364</v>
      </c>
      <c r="J45" s="30">
        <f t="shared" si="1"/>
        <v>518.32</v>
      </c>
      <c r="K45" s="31">
        <f t="shared" si="2"/>
        <v>68.4</v>
      </c>
      <c r="M45" s="32"/>
      <c r="N45" s="32"/>
    </row>
    <row r="46" s="4" customFormat="1" outlineLevel="2" spans="1:17">
      <c r="A46" s="28">
        <v>45905.658646</v>
      </c>
      <c r="B46" s="29" t="s">
        <v>14</v>
      </c>
      <c r="C46" s="29" t="s">
        <v>47</v>
      </c>
      <c r="D46" s="29" t="s">
        <v>51</v>
      </c>
      <c r="E46" s="29" t="s">
        <v>34</v>
      </c>
      <c r="F46" s="29">
        <v>2757</v>
      </c>
      <c r="G46" s="29">
        <v>0.38</v>
      </c>
      <c r="H46" s="29">
        <v>1047.66</v>
      </c>
      <c r="I46" s="30">
        <v>2757</v>
      </c>
      <c r="J46" s="30">
        <f t="shared" si="1"/>
        <v>1047.66</v>
      </c>
      <c r="K46" s="31">
        <f t="shared" si="2"/>
        <v>0</v>
      </c>
      <c r="M46" s="32">
        <f>3787-2904</f>
        <v>883</v>
      </c>
      <c r="N46" s="33">
        <f>M46/3787</f>
        <v>0.233166094533932</v>
      </c>
    </row>
    <row r="47" s="4" customFormat="1" outlineLevel="2" spans="1:17">
      <c r="A47" s="28">
        <v>45905.658646</v>
      </c>
      <c r="B47" s="29" t="s">
        <v>14</v>
      </c>
      <c r="C47" s="29" t="s">
        <v>47</v>
      </c>
      <c r="D47" s="29" t="s">
        <v>52</v>
      </c>
      <c r="E47" s="29" t="s">
        <v>34</v>
      </c>
      <c r="F47" s="29">
        <v>4818</v>
      </c>
      <c r="G47" s="29">
        <v>0.38</v>
      </c>
      <c r="H47" s="29">
        <v>1830.84</v>
      </c>
      <c r="I47" s="30">
        <v>4770</v>
      </c>
      <c r="J47" s="30">
        <f t="shared" si="1"/>
        <v>1812.6</v>
      </c>
      <c r="K47" s="31">
        <f t="shared" si="2"/>
        <v>18.24</v>
      </c>
      <c r="M47" s="32"/>
      <c r="N47" s="32"/>
    </row>
    <row r="48" s="4" customFormat="1" outlineLevel="2" spans="1:17">
      <c r="A48" s="28">
        <v>45908.647419</v>
      </c>
      <c r="B48" s="29" t="s">
        <v>14</v>
      </c>
      <c r="C48" s="29" t="s">
        <v>53</v>
      </c>
      <c r="D48" s="29" t="s">
        <v>36</v>
      </c>
      <c r="E48" s="29" t="s">
        <v>25</v>
      </c>
      <c r="F48" s="29">
        <v>1195</v>
      </c>
      <c r="G48" s="29">
        <v>0.24</v>
      </c>
      <c r="H48" s="29">
        <v>286.8</v>
      </c>
      <c r="I48" s="30">
        <v>1195</v>
      </c>
      <c r="J48" s="30">
        <f t="shared" si="1"/>
        <v>286.8</v>
      </c>
      <c r="K48" s="31">
        <f t="shared" si="2"/>
        <v>0</v>
      </c>
      <c r="M48" s="32">
        <f>1455-1319</f>
        <v>136</v>
      </c>
      <c r="N48" s="33">
        <f>M48/1455</f>
        <v>0.0934707903780069</v>
      </c>
    </row>
    <row r="49" s="4" customFormat="1" outlineLevel="2" spans="1:14">
      <c r="A49" s="28">
        <v>45911.623912</v>
      </c>
      <c r="B49" s="29" t="s">
        <v>14</v>
      </c>
      <c r="C49" s="29" t="s">
        <v>54</v>
      </c>
      <c r="D49" s="29" t="s">
        <v>39</v>
      </c>
      <c r="E49" s="29" t="s">
        <v>25</v>
      </c>
      <c r="F49" s="29">
        <v>2171</v>
      </c>
      <c r="G49" s="29">
        <v>0.16</v>
      </c>
      <c r="H49" s="29">
        <v>347.36</v>
      </c>
      <c r="I49" s="30">
        <v>1969</v>
      </c>
      <c r="J49" s="30">
        <f t="shared" si="1"/>
        <v>315.04</v>
      </c>
      <c r="K49" s="31">
        <f t="shared" si="2"/>
        <v>32.32</v>
      </c>
      <c r="M49" s="32"/>
      <c r="N49" s="32"/>
    </row>
    <row r="50" s="4" customFormat="1" outlineLevel="2" spans="1:14">
      <c r="A50" s="28">
        <v>45911.623912</v>
      </c>
      <c r="B50" s="29" t="s">
        <v>14</v>
      </c>
      <c r="C50" s="29" t="s">
        <v>54</v>
      </c>
      <c r="D50" s="29" t="s">
        <v>35</v>
      </c>
      <c r="E50" s="29" t="s">
        <v>25</v>
      </c>
      <c r="F50" s="29">
        <v>2178</v>
      </c>
      <c r="G50" s="29">
        <v>0.16</v>
      </c>
      <c r="H50" s="29">
        <v>348.48</v>
      </c>
      <c r="I50" s="30">
        <v>2160</v>
      </c>
      <c r="J50" s="30">
        <f t="shared" si="1"/>
        <v>345.6</v>
      </c>
      <c r="K50" s="31">
        <f t="shared" si="2"/>
        <v>2.88</v>
      </c>
      <c r="M50" s="32"/>
      <c r="N50" s="32"/>
    </row>
    <row r="51" s="4" customFormat="1" outlineLevel="2" spans="1:14">
      <c r="A51" s="28">
        <v>45917.729329</v>
      </c>
      <c r="B51" s="29" t="s">
        <v>14</v>
      </c>
      <c r="C51" s="29" t="s">
        <v>55</v>
      </c>
      <c r="D51" s="29" t="s">
        <v>56</v>
      </c>
      <c r="E51" s="29" t="s">
        <v>57</v>
      </c>
      <c r="F51" s="29">
        <v>1500</v>
      </c>
      <c r="G51" s="29">
        <v>0.38</v>
      </c>
      <c r="H51" s="29">
        <v>570</v>
      </c>
      <c r="I51" s="30">
        <v>1008</v>
      </c>
      <c r="J51" s="30">
        <f t="shared" si="1"/>
        <v>383.04</v>
      </c>
      <c r="K51" s="31">
        <f t="shared" si="2"/>
        <v>186.96</v>
      </c>
      <c r="M51" s="32"/>
      <c r="N51" s="32"/>
    </row>
    <row r="52" s="4" customFormat="1" outlineLevel="2" spans="1:14">
      <c r="A52" s="28">
        <v>45917.729329</v>
      </c>
      <c r="B52" s="29" t="s">
        <v>14</v>
      </c>
      <c r="C52" s="29" t="s">
        <v>55</v>
      </c>
      <c r="D52" s="29" t="s">
        <v>58</v>
      </c>
      <c r="E52" s="29" t="s">
        <v>34</v>
      </c>
      <c r="F52" s="29">
        <v>4628</v>
      </c>
      <c r="G52" s="29">
        <v>0.38</v>
      </c>
      <c r="H52" s="29">
        <v>1758.64</v>
      </c>
      <c r="I52" s="30">
        <v>4534</v>
      </c>
      <c r="J52" s="30">
        <f t="shared" si="1"/>
        <v>1722.92</v>
      </c>
      <c r="K52" s="31">
        <f t="shared" si="2"/>
        <v>35.72</v>
      </c>
      <c r="M52" s="32">
        <f>4628-4534</f>
        <v>94</v>
      </c>
      <c r="N52" s="33">
        <f>M52/4628</f>
        <v>0.0203111495246327</v>
      </c>
    </row>
    <row r="53" s="4" customFormat="1" outlineLevel="2" spans="1:14">
      <c r="A53" s="28">
        <v>45922.603113</v>
      </c>
      <c r="B53" s="29" t="s">
        <v>14</v>
      </c>
      <c r="C53" s="29" t="s">
        <v>59</v>
      </c>
      <c r="D53" s="29" t="s">
        <v>39</v>
      </c>
      <c r="E53" s="29" t="s">
        <v>21</v>
      </c>
      <c r="F53" s="29">
        <v>484</v>
      </c>
      <c r="G53" s="29">
        <v>0.17</v>
      </c>
      <c r="H53" s="29">
        <v>82.28</v>
      </c>
      <c r="I53" s="30">
        <f>1969-I29</f>
        <v>282</v>
      </c>
      <c r="J53" s="30">
        <f t="shared" si="1"/>
        <v>47.94</v>
      </c>
      <c r="K53" s="31">
        <f t="shared" si="2"/>
        <v>34.34</v>
      </c>
      <c r="M53" s="32"/>
      <c r="N53" s="32"/>
    </row>
    <row r="54" s="4" customFormat="1" outlineLevel="2" spans="1:14">
      <c r="A54" s="28">
        <v>45922.603113</v>
      </c>
      <c r="B54" s="29" t="s">
        <v>14</v>
      </c>
      <c r="C54" s="29" t="s">
        <v>59</v>
      </c>
      <c r="D54" s="29" t="s">
        <v>36</v>
      </c>
      <c r="E54" s="29" t="s">
        <v>21</v>
      </c>
      <c r="F54" s="29">
        <v>242</v>
      </c>
      <c r="G54" s="29">
        <v>0.17</v>
      </c>
      <c r="H54" s="29">
        <v>41.14</v>
      </c>
      <c r="I54" s="30">
        <v>242</v>
      </c>
      <c r="J54" s="30">
        <f t="shared" si="1"/>
        <v>41.14</v>
      </c>
      <c r="K54" s="31">
        <f t="shared" si="2"/>
        <v>0</v>
      </c>
      <c r="M54" s="32"/>
      <c r="N54" s="32"/>
    </row>
    <row r="55" s="4" customFormat="1" outlineLevel="2" spans="1:14">
      <c r="A55" s="28">
        <v>45922.603113</v>
      </c>
      <c r="B55" s="29" t="s">
        <v>14</v>
      </c>
      <c r="C55" s="29" t="s">
        <v>59</v>
      </c>
      <c r="D55" s="29" t="s">
        <v>35</v>
      </c>
      <c r="E55" s="29" t="s">
        <v>21</v>
      </c>
      <c r="F55" s="29">
        <v>486</v>
      </c>
      <c r="G55" s="29">
        <v>0.17</v>
      </c>
      <c r="H55" s="29">
        <v>82.62</v>
      </c>
      <c r="I55" s="30">
        <f>2160-I32</f>
        <v>468</v>
      </c>
      <c r="J55" s="30">
        <f t="shared" si="1"/>
        <v>79.56</v>
      </c>
      <c r="K55" s="31">
        <f t="shared" si="2"/>
        <v>3.06</v>
      </c>
      <c r="M55" s="32"/>
      <c r="N55" s="32"/>
    </row>
    <row r="56" s="5" customFormat="1" ht="15" customHeight="1" spans="1:14">
      <c r="A56" s="28">
        <v>45941.80566</v>
      </c>
      <c r="B56" s="29" t="s">
        <v>14</v>
      </c>
      <c r="C56" s="29" t="s">
        <v>60</v>
      </c>
      <c r="D56" s="29" t="s">
        <v>61</v>
      </c>
      <c r="E56" s="29" t="s">
        <v>34</v>
      </c>
      <c r="F56" s="29">
        <v>463</v>
      </c>
      <c r="G56" s="29">
        <v>0.38</v>
      </c>
      <c r="H56" s="29">
        <v>175.94</v>
      </c>
      <c r="I56" s="36">
        <f>1319-I20</f>
        <v>124</v>
      </c>
      <c r="J56" s="30">
        <f t="shared" si="1"/>
        <v>47.12</v>
      </c>
      <c r="K56" s="31">
        <f t="shared" si="2"/>
        <v>128.82</v>
      </c>
      <c r="M56" s="37"/>
      <c r="N56" s="37"/>
    </row>
    <row r="57" s="5" customFormat="1" ht="15" customHeight="1" spans="1:14">
      <c r="A57" s="28">
        <v>45941.80566</v>
      </c>
      <c r="B57" s="29" t="s">
        <v>14</v>
      </c>
      <c r="C57" s="29" t="s">
        <v>60</v>
      </c>
      <c r="D57" s="29" t="s">
        <v>61</v>
      </c>
      <c r="E57" s="29" t="s">
        <v>20</v>
      </c>
      <c r="F57" s="29">
        <v>160</v>
      </c>
      <c r="G57" s="29">
        <v>0.065</v>
      </c>
      <c r="H57" s="29">
        <v>10.4</v>
      </c>
      <c r="I57" s="36">
        <f>1319-1195</f>
        <v>124</v>
      </c>
      <c r="J57" s="30">
        <f t="shared" si="1"/>
        <v>8.06</v>
      </c>
      <c r="K57" s="31">
        <f t="shared" si="2"/>
        <v>2.34</v>
      </c>
      <c r="M57" s="37"/>
      <c r="N57" s="37"/>
    </row>
    <row r="58" s="5" customFormat="1" ht="15" customHeight="1" spans="1:14">
      <c r="A58" s="28">
        <v>45941.80566</v>
      </c>
      <c r="B58" s="29" t="s">
        <v>14</v>
      </c>
      <c r="C58" s="29" t="s">
        <v>60</v>
      </c>
      <c r="D58" s="29" t="s">
        <v>61</v>
      </c>
      <c r="E58" s="29" t="s">
        <v>25</v>
      </c>
      <c r="F58" s="29">
        <v>160</v>
      </c>
      <c r="G58" s="29">
        <v>0.24</v>
      </c>
      <c r="H58" s="29">
        <v>38.4</v>
      </c>
      <c r="I58" s="36">
        <f>1319-1195</f>
        <v>124</v>
      </c>
      <c r="J58" s="30">
        <f t="shared" si="1"/>
        <v>29.76</v>
      </c>
      <c r="K58" s="31">
        <f t="shared" si="2"/>
        <v>8.64</v>
      </c>
      <c r="M58" s="37"/>
      <c r="N58" s="37"/>
    </row>
    <row r="59" s="5" customFormat="1" ht="15" customHeight="1" spans="1:14">
      <c r="A59" s="28">
        <v>45941.80566</v>
      </c>
      <c r="B59" s="29" t="s">
        <v>14</v>
      </c>
      <c r="C59" s="29" t="s">
        <v>60</v>
      </c>
      <c r="D59" s="29" t="s">
        <v>61</v>
      </c>
      <c r="E59" s="29" t="s">
        <v>21</v>
      </c>
      <c r="F59" s="29">
        <v>272</v>
      </c>
      <c r="G59" s="29">
        <v>0.17</v>
      </c>
      <c r="H59" s="29">
        <v>46.24</v>
      </c>
      <c r="I59" s="36">
        <f>1319-I42-I54</f>
        <v>124</v>
      </c>
      <c r="J59" s="30">
        <f t="shared" si="1"/>
        <v>21.08</v>
      </c>
      <c r="K59" s="31">
        <f t="shared" si="2"/>
        <v>25.16</v>
      </c>
      <c r="M59" s="37"/>
      <c r="N59" s="37"/>
    </row>
    <row r="60" s="5" customFormat="1" ht="15" customHeight="1" spans="1:14">
      <c r="A60" s="28">
        <v>45944.699931</v>
      </c>
      <c r="B60" s="29" t="s">
        <v>14</v>
      </c>
      <c r="C60" s="29" t="s">
        <v>62</v>
      </c>
      <c r="D60" s="29" t="s">
        <v>58</v>
      </c>
      <c r="E60" s="29" t="s">
        <v>21</v>
      </c>
      <c r="F60" s="29">
        <v>3352</v>
      </c>
      <c r="G60" s="29">
        <v>0.17</v>
      </c>
      <c r="H60" s="29">
        <v>569.84</v>
      </c>
      <c r="I60" s="36">
        <v>3352</v>
      </c>
      <c r="J60" s="30">
        <f t="shared" si="1"/>
        <v>569.84</v>
      </c>
      <c r="K60" s="31">
        <f t="shared" si="2"/>
        <v>0</v>
      </c>
      <c r="M60" s="37"/>
      <c r="N60" s="37"/>
    </row>
    <row r="61" s="5" customFormat="1" ht="15" customHeight="1" spans="1:14">
      <c r="A61" s="28">
        <v>45944.699931</v>
      </c>
      <c r="B61" s="29" t="s">
        <v>14</v>
      </c>
      <c r="C61" s="29" t="s">
        <v>62</v>
      </c>
      <c r="D61" s="29" t="s">
        <v>58</v>
      </c>
      <c r="E61" s="29" t="s">
        <v>17</v>
      </c>
      <c r="F61" s="29">
        <v>606</v>
      </c>
      <c r="G61" s="29">
        <v>0.35</v>
      </c>
      <c r="H61" s="29">
        <v>212.1</v>
      </c>
      <c r="I61" s="36">
        <v>606</v>
      </c>
      <c r="J61" s="30">
        <f t="shared" si="1"/>
        <v>212.1</v>
      </c>
      <c r="K61" s="31">
        <f t="shared" si="2"/>
        <v>0</v>
      </c>
      <c r="M61" s="37"/>
      <c r="N61" s="37"/>
    </row>
    <row r="62" s="5" customFormat="1" ht="15" customHeight="1" spans="1:14">
      <c r="A62" s="28">
        <v>45944.699931</v>
      </c>
      <c r="B62" s="29" t="s">
        <v>14</v>
      </c>
      <c r="C62" s="29" t="s">
        <v>62</v>
      </c>
      <c r="D62" s="29" t="s">
        <v>58</v>
      </c>
      <c r="E62" s="29" t="s">
        <v>20</v>
      </c>
      <c r="F62" s="29">
        <v>4808</v>
      </c>
      <c r="G62" s="29">
        <v>0.065</v>
      </c>
      <c r="H62" s="29">
        <v>312.52</v>
      </c>
      <c r="I62" s="36">
        <v>4534</v>
      </c>
      <c r="J62" s="30">
        <f t="shared" si="1"/>
        <v>294.71</v>
      </c>
      <c r="K62" s="31">
        <f t="shared" si="2"/>
        <v>17.8099999999999</v>
      </c>
      <c r="M62" s="37"/>
      <c r="N62" s="37"/>
    </row>
    <row r="63" s="5" customFormat="1" ht="15" customHeight="1" spans="1:14">
      <c r="A63" s="28">
        <v>45944.699931</v>
      </c>
      <c r="B63" s="29" t="s">
        <v>14</v>
      </c>
      <c r="C63" s="29" t="s">
        <v>62</v>
      </c>
      <c r="D63" s="29" t="s">
        <v>58</v>
      </c>
      <c r="E63" s="29" t="s">
        <v>25</v>
      </c>
      <c r="F63" s="29">
        <v>4808</v>
      </c>
      <c r="G63" s="29">
        <v>0.24</v>
      </c>
      <c r="H63" s="29">
        <v>1153.92</v>
      </c>
      <c r="I63" s="36">
        <v>4534</v>
      </c>
      <c r="J63" s="30">
        <f t="shared" si="1"/>
        <v>1088.16</v>
      </c>
      <c r="K63" s="31">
        <f t="shared" si="2"/>
        <v>65.7600000000002</v>
      </c>
      <c r="M63" s="37"/>
      <c r="N63" s="37"/>
    </row>
    <row r="64" s="5" customFormat="1" ht="15" customHeight="1" spans="1:14">
      <c r="A64" s="28">
        <v>45944.699931</v>
      </c>
      <c r="B64" s="29" t="s">
        <v>14</v>
      </c>
      <c r="C64" s="29" t="s">
        <v>62</v>
      </c>
      <c r="D64" s="29" t="s">
        <v>56</v>
      </c>
      <c r="E64" s="29" t="s">
        <v>21</v>
      </c>
      <c r="F64" s="29">
        <v>1020</v>
      </c>
      <c r="G64" s="29">
        <v>0.17</v>
      </c>
      <c r="H64" s="29">
        <v>173.4</v>
      </c>
      <c r="I64" s="36">
        <v>1008</v>
      </c>
      <c r="J64" s="30">
        <f t="shared" si="1"/>
        <v>171.36</v>
      </c>
      <c r="K64" s="31">
        <f t="shared" si="2"/>
        <v>2.03999999999999</v>
      </c>
      <c r="M64" s="37"/>
      <c r="N64" s="37"/>
    </row>
    <row r="65" s="5" customFormat="1" ht="15" customHeight="1" spans="1:14">
      <c r="A65" s="28">
        <v>45944.699931</v>
      </c>
      <c r="B65" s="29" t="s">
        <v>14</v>
      </c>
      <c r="C65" s="29" t="s">
        <v>62</v>
      </c>
      <c r="D65" s="29" t="s">
        <v>56</v>
      </c>
      <c r="E65" s="29" t="s">
        <v>20</v>
      </c>
      <c r="F65" s="29">
        <v>1500</v>
      </c>
      <c r="G65" s="29">
        <v>0.065</v>
      </c>
      <c r="H65" s="29">
        <v>97.5</v>
      </c>
      <c r="I65" s="36">
        <v>1008</v>
      </c>
      <c r="J65" s="30">
        <f t="shared" si="1"/>
        <v>65.52</v>
      </c>
      <c r="K65" s="31">
        <f t="shared" si="2"/>
        <v>31.98</v>
      </c>
      <c r="M65" s="37"/>
      <c r="N65" s="37"/>
    </row>
    <row r="66" s="5" customFormat="1" ht="15" customHeight="1" spans="1:14">
      <c r="A66" s="28">
        <v>45944.699931</v>
      </c>
      <c r="B66" s="29" t="s">
        <v>14</v>
      </c>
      <c r="C66" s="29" t="s">
        <v>62</v>
      </c>
      <c r="D66" s="29" t="s">
        <v>56</v>
      </c>
      <c r="E66" s="29" t="s">
        <v>25</v>
      </c>
      <c r="F66" s="29">
        <v>1500</v>
      </c>
      <c r="G66" s="29">
        <v>0.24</v>
      </c>
      <c r="H66" s="29">
        <v>360</v>
      </c>
      <c r="I66" s="36">
        <v>1008</v>
      </c>
      <c r="J66" s="30">
        <f t="shared" si="1"/>
        <v>241.92</v>
      </c>
      <c r="K66" s="31">
        <f t="shared" si="2"/>
        <v>118.08</v>
      </c>
      <c r="M66" s="37"/>
      <c r="N66" s="37"/>
    </row>
    <row r="67" s="5" customFormat="1" ht="15" customHeight="1" spans="1:14">
      <c r="A67" s="28">
        <v>45944.699931</v>
      </c>
      <c r="B67" s="29" t="s">
        <v>14</v>
      </c>
      <c r="C67" s="29" t="s">
        <v>62</v>
      </c>
      <c r="D67" s="29" t="s">
        <v>56</v>
      </c>
      <c r="E67" s="29" t="s">
        <v>17</v>
      </c>
      <c r="F67" s="29">
        <v>200</v>
      </c>
      <c r="G67" s="29">
        <v>0.35</v>
      </c>
      <c r="H67" s="29">
        <v>70</v>
      </c>
      <c r="I67" s="36">
        <v>200</v>
      </c>
      <c r="J67" s="30">
        <f t="shared" si="1"/>
        <v>70</v>
      </c>
      <c r="K67" s="31">
        <f t="shared" si="2"/>
        <v>0</v>
      </c>
      <c r="M67" s="37"/>
      <c r="N67" s="37"/>
    </row>
    <row r="68" s="5" customFormat="1" ht="15" customHeight="1" spans="1:14">
      <c r="A68" s="28">
        <v>45944.699931</v>
      </c>
      <c r="B68" s="29" t="s">
        <v>14</v>
      </c>
      <c r="C68" s="29" t="s">
        <v>62</v>
      </c>
      <c r="D68" s="29" t="s">
        <v>50</v>
      </c>
      <c r="E68" s="29" t="s">
        <v>21</v>
      </c>
      <c r="F68" s="29">
        <v>1225</v>
      </c>
      <c r="G68" s="29">
        <v>0.17</v>
      </c>
      <c r="H68" s="29">
        <v>208.25</v>
      </c>
      <c r="I68" s="36">
        <v>1225</v>
      </c>
      <c r="J68" s="30">
        <f t="shared" ref="J68:J131" si="3">G68*I68</f>
        <v>208.25</v>
      </c>
      <c r="K68" s="31">
        <f t="shared" ref="K68:K131" si="4">H68-J68</f>
        <v>0</v>
      </c>
      <c r="M68" s="37"/>
      <c r="N68" s="37"/>
    </row>
    <row r="69" s="5" customFormat="1" ht="15" customHeight="1" spans="1:14">
      <c r="A69" s="28">
        <v>45944.699931</v>
      </c>
      <c r="B69" s="29" t="s">
        <v>14</v>
      </c>
      <c r="C69" s="29" t="s">
        <v>62</v>
      </c>
      <c r="D69" s="29" t="s">
        <v>50</v>
      </c>
      <c r="E69" s="29" t="s">
        <v>20</v>
      </c>
      <c r="F69" s="29">
        <v>1544</v>
      </c>
      <c r="G69" s="29">
        <v>0.065</v>
      </c>
      <c r="H69" s="29">
        <v>100.36</v>
      </c>
      <c r="I69" s="36">
        <v>1364</v>
      </c>
      <c r="J69" s="30">
        <f t="shared" si="3"/>
        <v>88.66</v>
      </c>
      <c r="K69" s="31">
        <f t="shared" si="4"/>
        <v>11.7</v>
      </c>
      <c r="M69" s="37"/>
      <c r="N69" s="37"/>
    </row>
    <row r="70" s="5" customFormat="1" ht="15" customHeight="1" spans="1:14">
      <c r="A70" s="28">
        <v>45944.699931</v>
      </c>
      <c r="B70" s="29" t="s">
        <v>14</v>
      </c>
      <c r="C70" s="29" t="s">
        <v>62</v>
      </c>
      <c r="D70" s="29" t="s">
        <v>50</v>
      </c>
      <c r="E70" s="29" t="s">
        <v>25</v>
      </c>
      <c r="F70" s="29">
        <v>1544</v>
      </c>
      <c r="G70" s="29">
        <v>0.24</v>
      </c>
      <c r="H70" s="29">
        <v>370.56</v>
      </c>
      <c r="I70" s="36">
        <v>1364</v>
      </c>
      <c r="J70" s="30">
        <f t="shared" si="3"/>
        <v>327.36</v>
      </c>
      <c r="K70" s="31">
        <f t="shared" si="4"/>
        <v>43.2</v>
      </c>
      <c r="M70" s="37"/>
      <c r="N70" s="37"/>
    </row>
    <row r="71" s="5" customFormat="1" ht="15" customHeight="1" spans="1:14">
      <c r="A71" s="28">
        <v>45944.699931</v>
      </c>
      <c r="B71" s="29" t="s">
        <v>14</v>
      </c>
      <c r="C71" s="29" t="s">
        <v>62</v>
      </c>
      <c r="D71" s="29" t="s">
        <v>50</v>
      </c>
      <c r="E71" s="29" t="s">
        <v>17</v>
      </c>
      <c r="F71" s="29">
        <v>224</v>
      </c>
      <c r="G71" s="29">
        <v>0.35</v>
      </c>
      <c r="H71" s="29">
        <v>78.4</v>
      </c>
      <c r="I71" s="36">
        <v>224</v>
      </c>
      <c r="J71" s="30">
        <f t="shared" si="3"/>
        <v>78.4</v>
      </c>
      <c r="K71" s="31">
        <f t="shared" si="4"/>
        <v>0</v>
      </c>
      <c r="M71" s="37"/>
      <c r="N71" s="37"/>
    </row>
    <row r="72" s="5" customFormat="1" ht="15" customHeight="1" spans="1:14">
      <c r="A72" s="28">
        <v>45944.699931</v>
      </c>
      <c r="B72" s="29" t="s">
        <v>14</v>
      </c>
      <c r="C72" s="29" t="s">
        <v>62</v>
      </c>
      <c r="D72" s="29" t="s">
        <v>49</v>
      </c>
      <c r="E72" s="29" t="s">
        <v>21</v>
      </c>
      <c r="F72" s="29">
        <v>2990</v>
      </c>
      <c r="G72" s="29">
        <v>0.17</v>
      </c>
      <c r="H72" s="29">
        <v>508.3</v>
      </c>
      <c r="I72" s="36">
        <v>2990</v>
      </c>
      <c r="J72" s="30">
        <f t="shared" si="3"/>
        <v>508.3</v>
      </c>
      <c r="K72" s="31">
        <f t="shared" si="4"/>
        <v>0</v>
      </c>
      <c r="M72" s="37"/>
      <c r="N72" s="37"/>
    </row>
    <row r="73" s="5" customFormat="1" ht="15" customHeight="1" spans="1:14">
      <c r="A73" s="28">
        <v>45944.699931</v>
      </c>
      <c r="B73" s="29" t="s">
        <v>14</v>
      </c>
      <c r="C73" s="29" t="s">
        <v>62</v>
      </c>
      <c r="D73" s="29" t="s">
        <v>49</v>
      </c>
      <c r="E73" s="29" t="s">
        <v>20</v>
      </c>
      <c r="F73" s="29">
        <v>3770</v>
      </c>
      <c r="G73" s="29">
        <v>0.065</v>
      </c>
      <c r="H73" s="29">
        <v>245.05</v>
      </c>
      <c r="I73" s="36">
        <v>3410</v>
      </c>
      <c r="J73" s="30">
        <f t="shared" si="3"/>
        <v>221.65</v>
      </c>
      <c r="K73" s="31">
        <f t="shared" si="4"/>
        <v>23.4</v>
      </c>
      <c r="M73" s="37"/>
      <c r="N73" s="37"/>
    </row>
    <row r="74" s="5" customFormat="1" ht="15" customHeight="1" spans="1:14">
      <c r="A74" s="28">
        <v>45944.699931</v>
      </c>
      <c r="B74" s="29" t="s">
        <v>14</v>
      </c>
      <c r="C74" s="29" t="s">
        <v>62</v>
      </c>
      <c r="D74" s="29" t="s">
        <v>49</v>
      </c>
      <c r="E74" s="29" t="s">
        <v>25</v>
      </c>
      <c r="F74" s="29">
        <v>3770</v>
      </c>
      <c r="G74" s="29">
        <v>0.24</v>
      </c>
      <c r="H74" s="29">
        <v>904.8</v>
      </c>
      <c r="I74" s="36">
        <v>3410</v>
      </c>
      <c r="J74" s="30">
        <f t="shared" si="3"/>
        <v>818.4</v>
      </c>
      <c r="K74" s="31">
        <f t="shared" si="4"/>
        <v>86.4</v>
      </c>
      <c r="M74" s="37"/>
      <c r="N74" s="37"/>
    </row>
    <row r="75" s="5" customFormat="1" ht="15" customHeight="1" spans="1:14">
      <c r="A75" s="28">
        <v>45944.699931</v>
      </c>
      <c r="B75" s="29" t="s">
        <v>14</v>
      </c>
      <c r="C75" s="29" t="s">
        <v>62</v>
      </c>
      <c r="D75" s="29" t="s">
        <v>49</v>
      </c>
      <c r="E75" s="29" t="s">
        <v>17</v>
      </c>
      <c r="F75" s="29">
        <v>531</v>
      </c>
      <c r="G75" s="29">
        <v>0.35</v>
      </c>
      <c r="H75" s="29">
        <v>185.85</v>
      </c>
      <c r="I75" s="36">
        <v>531</v>
      </c>
      <c r="J75" s="30">
        <f t="shared" si="3"/>
        <v>185.85</v>
      </c>
      <c r="K75" s="31">
        <f t="shared" si="4"/>
        <v>0</v>
      </c>
      <c r="M75" s="37"/>
      <c r="N75" s="37"/>
    </row>
    <row r="76" s="5" customFormat="1" ht="15" customHeight="1" spans="1:14">
      <c r="A76" s="28">
        <v>45944.699931</v>
      </c>
      <c r="B76" s="29" t="s">
        <v>14</v>
      </c>
      <c r="C76" s="29" t="s">
        <v>62</v>
      </c>
      <c r="D76" s="29" t="s">
        <v>48</v>
      </c>
      <c r="E76" s="29" t="s">
        <v>21</v>
      </c>
      <c r="F76" s="29">
        <v>1225</v>
      </c>
      <c r="G76" s="29">
        <v>0.17</v>
      </c>
      <c r="H76" s="29">
        <v>208.25</v>
      </c>
      <c r="I76" s="36">
        <v>1225</v>
      </c>
      <c r="J76" s="30">
        <f t="shared" si="3"/>
        <v>208.25</v>
      </c>
      <c r="K76" s="31">
        <f t="shared" si="4"/>
        <v>0</v>
      </c>
      <c r="M76" s="37"/>
      <c r="N76" s="37"/>
    </row>
    <row r="77" s="5" customFormat="1" ht="15" customHeight="1" spans="1:14">
      <c r="A77" s="28">
        <v>45944.699931</v>
      </c>
      <c r="B77" s="29" t="s">
        <v>14</v>
      </c>
      <c r="C77" s="29" t="s">
        <v>62</v>
      </c>
      <c r="D77" s="29" t="s">
        <v>48</v>
      </c>
      <c r="E77" s="29" t="s">
        <v>20</v>
      </c>
      <c r="F77" s="29">
        <v>1544</v>
      </c>
      <c r="G77" s="29">
        <v>0.065</v>
      </c>
      <c r="H77" s="29">
        <v>100.36</v>
      </c>
      <c r="I77" s="36">
        <v>1364</v>
      </c>
      <c r="J77" s="30">
        <f t="shared" si="3"/>
        <v>88.66</v>
      </c>
      <c r="K77" s="31">
        <f t="shared" si="4"/>
        <v>11.7</v>
      </c>
      <c r="M77" s="37"/>
      <c r="N77" s="37"/>
    </row>
    <row r="78" s="5" customFormat="1" ht="15" customHeight="1" spans="1:14">
      <c r="A78" s="28">
        <v>45944.699931</v>
      </c>
      <c r="B78" s="29" t="s">
        <v>14</v>
      </c>
      <c r="C78" s="29" t="s">
        <v>62</v>
      </c>
      <c r="D78" s="29" t="s">
        <v>48</v>
      </c>
      <c r="E78" s="29" t="s">
        <v>25</v>
      </c>
      <c r="F78" s="29">
        <v>1544</v>
      </c>
      <c r="G78" s="29">
        <v>0.24</v>
      </c>
      <c r="H78" s="29">
        <v>370.56</v>
      </c>
      <c r="I78" s="36">
        <v>1364</v>
      </c>
      <c r="J78" s="30">
        <f t="shared" si="3"/>
        <v>327.36</v>
      </c>
      <c r="K78" s="31">
        <f t="shared" si="4"/>
        <v>43.2</v>
      </c>
      <c r="M78" s="37"/>
      <c r="N78" s="37"/>
    </row>
    <row r="79" s="5" customFormat="1" ht="15" customHeight="1" spans="1:14">
      <c r="A79" s="28">
        <v>45944.699931</v>
      </c>
      <c r="B79" s="29" t="s">
        <v>14</v>
      </c>
      <c r="C79" s="29" t="s">
        <v>62</v>
      </c>
      <c r="D79" s="29" t="s">
        <v>48</v>
      </c>
      <c r="E79" s="29" t="s">
        <v>17</v>
      </c>
      <c r="F79" s="29">
        <v>224</v>
      </c>
      <c r="G79" s="29">
        <v>0.35</v>
      </c>
      <c r="H79" s="29">
        <v>78.4</v>
      </c>
      <c r="I79" s="36">
        <v>224</v>
      </c>
      <c r="J79" s="30">
        <f t="shared" si="3"/>
        <v>78.4</v>
      </c>
      <c r="K79" s="31">
        <f t="shared" si="4"/>
        <v>0</v>
      </c>
      <c r="M79" s="37"/>
      <c r="N79" s="37"/>
    </row>
    <row r="80" s="5" customFormat="1" ht="15" customHeight="1" spans="1:14">
      <c r="A80" s="28">
        <v>45944.699931</v>
      </c>
      <c r="B80" s="29" t="s">
        <v>14</v>
      </c>
      <c r="C80" s="29" t="s">
        <v>62</v>
      </c>
      <c r="D80" s="29" t="s">
        <v>43</v>
      </c>
      <c r="E80" s="29" t="s">
        <v>25</v>
      </c>
      <c r="F80" s="29">
        <v>1346</v>
      </c>
      <c r="G80" s="29">
        <v>0.24</v>
      </c>
      <c r="H80" s="29">
        <v>323.04</v>
      </c>
      <c r="I80" s="36">
        <v>1346</v>
      </c>
      <c r="J80" s="30">
        <f t="shared" si="3"/>
        <v>323.04</v>
      </c>
      <c r="K80" s="31">
        <f t="shared" si="4"/>
        <v>0</v>
      </c>
      <c r="M80" s="37"/>
      <c r="N80" s="37"/>
    </row>
    <row r="81" s="5" customFormat="1" ht="15" customHeight="1" spans="1:14">
      <c r="A81" s="28">
        <v>45950.549051</v>
      </c>
      <c r="B81" s="29" t="s">
        <v>14</v>
      </c>
      <c r="C81" s="29" t="s">
        <v>63</v>
      </c>
      <c r="D81" s="29" t="s">
        <v>64</v>
      </c>
      <c r="E81" s="29" t="s">
        <v>21</v>
      </c>
      <c r="F81" s="29">
        <v>120</v>
      </c>
      <c r="G81" s="29">
        <v>0.17</v>
      </c>
      <c r="H81" s="29">
        <v>20.4</v>
      </c>
      <c r="I81" s="36">
        <v>0</v>
      </c>
      <c r="J81" s="30">
        <f t="shared" si="3"/>
        <v>0</v>
      </c>
      <c r="K81" s="31">
        <f t="shared" si="4"/>
        <v>20.4</v>
      </c>
      <c r="M81" s="37"/>
      <c r="N81" s="37"/>
    </row>
    <row r="82" s="5" customFormat="1" ht="15" customHeight="1" spans="1:14">
      <c r="A82" s="28">
        <v>45950.549051</v>
      </c>
      <c r="B82" s="29" t="s">
        <v>14</v>
      </c>
      <c r="C82" s="29" t="s">
        <v>63</v>
      </c>
      <c r="D82" s="29" t="s">
        <v>64</v>
      </c>
      <c r="E82" s="29" t="s">
        <v>25</v>
      </c>
      <c r="F82" s="29">
        <v>100</v>
      </c>
      <c r="G82" s="29">
        <v>0.24</v>
      </c>
      <c r="H82" s="29">
        <v>24</v>
      </c>
      <c r="I82" s="36">
        <v>0</v>
      </c>
      <c r="J82" s="30">
        <f t="shared" si="3"/>
        <v>0</v>
      </c>
      <c r="K82" s="31">
        <f t="shared" si="4"/>
        <v>24</v>
      </c>
      <c r="M82" s="37"/>
      <c r="N82" s="37"/>
    </row>
    <row r="83" s="5" customFormat="1" ht="15" customHeight="1" spans="1:14">
      <c r="A83" s="28">
        <v>45950.549051</v>
      </c>
      <c r="B83" s="29" t="s">
        <v>14</v>
      </c>
      <c r="C83" s="29" t="s">
        <v>63</v>
      </c>
      <c r="D83" s="29" t="s">
        <v>64</v>
      </c>
      <c r="E83" s="29" t="s">
        <v>20</v>
      </c>
      <c r="F83" s="29">
        <v>100</v>
      </c>
      <c r="G83" s="29">
        <v>0.065</v>
      </c>
      <c r="H83" s="29">
        <v>6.5</v>
      </c>
      <c r="I83" s="36">
        <v>0</v>
      </c>
      <c r="J83" s="30">
        <f t="shared" si="3"/>
        <v>0</v>
      </c>
      <c r="K83" s="31">
        <f t="shared" si="4"/>
        <v>6.5</v>
      </c>
      <c r="M83" s="37"/>
      <c r="N83" s="37"/>
    </row>
    <row r="84" s="5" customFormat="1" ht="15" customHeight="1" spans="1:14">
      <c r="A84" s="28">
        <v>45951.76434</v>
      </c>
      <c r="B84" s="29" t="s">
        <v>14</v>
      </c>
      <c r="C84" s="29" t="s">
        <v>65</v>
      </c>
      <c r="D84" s="29" t="s">
        <v>66</v>
      </c>
      <c r="E84" s="29" t="s">
        <v>21</v>
      </c>
      <c r="F84" s="29">
        <v>1431</v>
      </c>
      <c r="G84" s="29">
        <v>0.17</v>
      </c>
      <c r="H84" s="29">
        <v>243.27</v>
      </c>
      <c r="I84" s="36">
        <f>1431</f>
        <v>1431</v>
      </c>
      <c r="J84" s="30">
        <f t="shared" si="3"/>
        <v>243.27</v>
      </c>
      <c r="K84" s="31">
        <f t="shared" si="4"/>
        <v>0</v>
      </c>
      <c r="M84" s="37"/>
      <c r="N84" s="37"/>
    </row>
    <row r="85" s="5" customFormat="1" ht="15" customHeight="1" spans="1:14">
      <c r="A85" s="28">
        <v>45951.76434</v>
      </c>
      <c r="B85" s="29" t="s">
        <v>14</v>
      </c>
      <c r="C85" s="29" t="s">
        <v>65</v>
      </c>
      <c r="D85" s="29" t="s">
        <v>66</v>
      </c>
      <c r="E85" s="29" t="s">
        <v>18</v>
      </c>
      <c r="F85" s="29">
        <v>1431</v>
      </c>
      <c r="G85" s="29">
        <v>0.36</v>
      </c>
      <c r="H85" s="29">
        <v>515.16</v>
      </c>
      <c r="I85" s="36">
        <v>1386</v>
      </c>
      <c r="J85" s="30">
        <f t="shared" si="3"/>
        <v>498.96</v>
      </c>
      <c r="K85" s="31">
        <f t="shared" si="4"/>
        <v>16.2</v>
      </c>
      <c r="M85" s="37"/>
      <c r="N85" s="37"/>
    </row>
    <row r="86" s="5" customFormat="1" ht="15" customHeight="1" spans="1:14">
      <c r="A86" s="28">
        <v>45951.76434</v>
      </c>
      <c r="B86" s="29" t="s">
        <v>14</v>
      </c>
      <c r="C86" s="29" t="s">
        <v>65</v>
      </c>
      <c r="D86" s="29" t="s">
        <v>66</v>
      </c>
      <c r="E86" s="29" t="s">
        <v>20</v>
      </c>
      <c r="F86" s="29">
        <v>1431</v>
      </c>
      <c r="G86" s="29">
        <v>0.065</v>
      </c>
      <c r="H86" s="29">
        <v>93.02</v>
      </c>
      <c r="I86" s="36">
        <v>1386</v>
      </c>
      <c r="J86" s="30">
        <f t="shared" si="3"/>
        <v>90.09</v>
      </c>
      <c r="K86" s="31">
        <f t="shared" si="4"/>
        <v>2.92999999999999</v>
      </c>
      <c r="M86" s="37"/>
      <c r="N86" s="37"/>
    </row>
    <row r="87" s="5" customFormat="1" ht="15" customHeight="1" spans="1:14">
      <c r="A87" s="28">
        <v>45951.76434</v>
      </c>
      <c r="B87" s="29" t="s">
        <v>14</v>
      </c>
      <c r="C87" s="29" t="s">
        <v>65</v>
      </c>
      <c r="D87" s="29" t="s">
        <v>42</v>
      </c>
      <c r="E87" s="29" t="s">
        <v>25</v>
      </c>
      <c r="F87" s="29">
        <v>2852</v>
      </c>
      <c r="G87" s="29">
        <v>0.24</v>
      </c>
      <c r="H87" s="29">
        <v>684.48</v>
      </c>
      <c r="I87" s="36">
        <f>1341+1386</f>
        <v>2727</v>
      </c>
      <c r="J87" s="30">
        <f t="shared" si="3"/>
        <v>654.48</v>
      </c>
      <c r="K87" s="31">
        <f t="shared" si="4"/>
        <v>30</v>
      </c>
      <c r="M87" s="37">
        <f>2852-2727</f>
        <v>125</v>
      </c>
      <c r="N87" s="38">
        <f>M87/2852</f>
        <v>0.0438288920056101</v>
      </c>
    </row>
    <row r="88" s="5" customFormat="1" ht="15" customHeight="1" spans="1:14">
      <c r="A88" s="28">
        <v>45951.76434</v>
      </c>
      <c r="B88" s="29" t="s">
        <v>14</v>
      </c>
      <c r="C88" s="29" t="s">
        <v>65</v>
      </c>
      <c r="D88" s="29" t="s">
        <v>66</v>
      </c>
      <c r="E88" s="29" t="s">
        <v>17</v>
      </c>
      <c r="F88" s="29">
        <v>158</v>
      </c>
      <c r="G88" s="29">
        <v>0.35</v>
      </c>
      <c r="H88" s="29">
        <v>55.3</v>
      </c>
      <c r="I88" s="36">
        <v>158</v>
      </c>
      <c r="J88" s="30">
        <f t="shared" si="3"/>
        <v>55.3</v>
      </c>
      <c r="K88" s="31">
        <f t="shared" si="4"/>
        <v>0</v>
      </c>
      <c r="M88" s="37"/>
      <c r="N88" s="37"/>
    </row>
    <row r="89" s="5" customFormat="1" ht="15" customHeight="1" spans="1:14">
      <c r="A89" s="28">
        <v>45953.937905</v>
      </c>
      <c r="B89" s="29" t="s">
        <v>14</v>
      </c>
      <c r="C89" s="29" t="s">
        <v>67</v>
      </c>
      <c r="D89" s="29" t="s">
        <v>52</v>
      </c>
      <c r="E89" s="29" t="s">
        <v>25</v>
      </c>
      <c r="F89" s="29">
        <v>4179</v>
      </c>
      <c r="G89" s="29">
        <v>0.16</v>
      </c>
      <c r="H89" s="29">
        <v>668.64</v>
      </c>
      <c r="I89" s="36">
        <v>4179</v>
      </c>
      <c r="J89" s="30">
        <f t="shared" si="3"/>
        <v>668.64</v>
      </c>
      <c r="K89" s="31">
        <f t="shared" si="4"/>
        <v>0</v>
      </c>
      <c r="M89" s="37"/>
      <c r="N89" s="37"/>
    </row>
    <row r="90" s="5" customFormat="1" ht="15" customHeight="1" spans="1:14">
      <c r="A90" s="28">
        <v>45953.937905</v>
      </c>
      <c r="B90" s="29" t="s">
        <v>14</v>
      </c>
      <c r="C90" s="29" t="s">
        <v>67</v>
      </c>
      <c r="D90" s="29" t="s">
        <v>52</v>
      </c>
      <c r="E90" s="29" t="s">
        <v>24</v>
      </c>
      <c r="F90" s="29">
        <v>738</v>
      </c>
      <c r="G90" s="29">
        <v>0.16</v>
      </c>
      <c r="H90" s="29">
        <v>118.08</v>
      </c>
      <c r="I90" s="36">
        <f>4770-I89</f>
        <v>591</v>
      </c>
      <c r="J90" s="30">
        <f t="shared" si="3"/>
        <v>94.56</v>
      </c>
      <c r="K90" s="31">
        <f t="shared" si="4"/>
        <v>23.52</v>
      </c>
      <c r="M90" s="37"/>
      <c r="N90" s="37"/>
    </row>
    <row r="91" s="5" customFormat="1" ht="15" customHeight="1" spans="1:14">
      <c r="A91" s="28">
        <v>45953.937905</v>
      </c>
      <c r="B91" s="29" t="s">
        <v>14</v>
      </c>
      <c r="C91" s="29" t="s">
        <v>67</v>
      </c>
      <c r="D91" s="29" t="s">
        <v>52</v>
      </c>
      <c r="E91" s="29" t="s">
        <v>17</v>
      </c>
      <c r="F91" s="29">
        <v>433</v>
      </c>
      <c r="G91" s="29">
        <v>0.35</v>
      </c>
      <c r="H91" s="29">
        <v>151.55</v>
      </c>
      <c r="I91" s="36">
        <v>433</v>
      </c>
      <c r="J91" s="30">
        <f t="shared" si="3"/>
        <v>151.55</v>
      </c>
      <c r="K91" s="31">
        <f t="shared" si="4"/>
        <v>0</v>
      </c>
      <c r="M91" s="37"/>
      <c r="N91" s="37"/>
    </row>
    <row r="92" s="5" customFormat="1" ht="15" customHeight="1" spans="1:14">
      <c r="A92" s="28">
        <v>45953.937905</v>
      </c>
      <c r="B92" s="29" t="s">
        <v>14</v>
      </c>
      <c r="C92" s="29" t="s">
        <v>67</v>
      </c>
      <c r="D92" s="29" t="s">
        <v>52</v>
      </c>
      <c r="E92" s="29" t="s">
        <v>21</v>
      </c>
      <c r="F92" s="29">
        <v>3110</v>
      </c>
      <c r="G92" s="29">
        <v>0.17</v>
      </c>
      <c r="H92" s="29">
        <v>528.7</v>
      </c>
      <c r="I92" s="36">
        <v>3110</v>
      </c>
      <c r="J92" s="30">
        <f t="shared" si="3"/>
        <v>528.7</v>
      </c>
      <c r="K92" s="31">
        <f t="shared" si="4"/>
        <v>0</v>
      </c>
      <c r="M92" s="37"/>
      <c r="N92" s="37"/>
    </row>
    <row r="93" s="5" customFormat="1" ht="15" customHeight="1" spans="1:14">
      <c r="A93" s="28">
        <v>45953.95316</v>
      </c>
      <c r="B93" s="29" t="s">
        <v>14</v>
      </c>
      <c r="C93" s="29" t="s">
        <v>68</v>
      </c>
      <c r="D93" s="29" t="s">
        <v>51</v>
      </c>
      <c r="E93" s="29" t="s">
        <v>25</v>
      </c>
      <c r="F93" s="29">
        <v>2344</v>
      </c>
      <c r="G93" s="29">
        <v>0.16</v>
      </c>
      <c r="H93" s="29">
        <v>375.04</v>
      </c>
      <c r="I93" s="36">
        <v>2344</v>
      </c>
      <c r="J93" s="30">
        <f t="shared" si="3"/>
        <v>375.04</v>
      </c>
      <c r="K93" s="31">
        <f t="shared" si="4"/>
        <v>0</v>
      </c>
      <c r="M93" s="37">
        <f>3024-2904</f>
        <v>120</v>
      </c>
      <c r="N93" s="38">
        <f>M93/3024</f>
        <v>0.0396825396825397</v>
      </c>
    </row>
    <row r="94" s="5" customFormat="1" ht="15" customHeight="1" spans="1:14">
      <c r="A94" s="28">
        <v>45953.95316</v>
      </c>
      <c r="B94" s="29" t="s">
        <v>14</v>
      </c>
      <c r="C94" s="29" t="s">
        <v>68</v>
      </c>
      <c r="D94" s="29" t="s">
        <v>51</v>
      </c>
      <c r="E94" s="29" t="s">
        <v>24</v>
      </c>
      <c r="F94" s="29">
        <v>420</v>
      </c>
      <c r="G94" s="29">
        <v>0.16</v>
      </c>
      <c r="H94" s="29">
        <v>67.2</v>
      </c>
      <c r="I94" s="36">
        <v>420</v>
      </c>
      <c r="J94" s="30">
        <f t="shared" si="3"/>
        <v>67.2</v>
      </c>
      <c r="K94" s="31">
        <f t="shared" si="4"/>
        <v>0</v>
      </c>
      <c r="M94" s="37"/>
      <c r="N94" s="37"/>
    </row>
    <row r="95" s="5" customFormat="1" ht="15" customHeight="1" spans="1:14">
      <c r="A95" s="28">
        <v>45953.95316</v>
      </c>
      <c r="B95" s="29" t="s">
        <v>14</v>
      </c>
      <c r="C95" s="29" t="s">
        <v>68</v>
      </c>
      <c r="D95" s="29" t="s">
        <v>51</v>
      </c>
      <c r="E95" s="29" t="s">
        <v>17</v>
      </c>
      <c r="F95" s="29">
        <v>276</v>
      </c>
      <c r="G95" s="29">
        <v>0.35</v>
      </c>
      <c r="H95" s="29">
        <v>96.6</v>
      </c>
      <c r="I95" s="36">
        <v>276</v>
      </c>
      <c r="J95" s="30">
        <f t="shared" si="3"/>
        <v>96.6</v>
      </c>
      <c r="K95" s="31">
        <f t="shared" si="4"/>
        <v>0</v>
      </c>
      <c r="M95" s="37"/>
      <c r="N95" s="37"/>
    </row>
    <row r="96" s="5" customFormat="1" ht="15" customHeight="1" spans="1:14">
      <c r="A96" s="28">
        <v>45953.95316</v>
      </c>
      <c r="B96" s="29" t="s">
        <v>14</v>
      </c>
      <c r="C96" s="29" t="s">
        <v>68</v>
      </c>
      <c r="D96" s="29" t="s">
        <v>51</v>
      </c>
      <c r="E96" s="29" t="s">
        <v>21</v>
      </c>
      <c r="F96" s="29">
        <v>1760</v>
      </c>
      <c r="G96" s="29">
        <v>0.17</v>
      </c>
      <c r="H96" s="29">
        <v>299.2</v>
      </c>
      <c r="I96" s="36">
        <v>1760</v>
      </c>
      <c r="J96" s="30">
        <f t="shared" si="3"/>
        <v>299.2</v>
      </c>
      <c r="K96" s="31">
        <f t="shared" si="4"/>
        <v>0</v>
      </c>
      <c r="M96" s="37">
        <f>3139-2904</f>
        <v>235</v>
      </c>
      <c r="N96" s="38">
        <f>M96/3139</f>
        <v>0.0748646065625996</v>
      </c>
    </row>
    <row r="97" s="5" customFormat="1" ht="15" customHeight="1" spans="1:14">
      <c r="A97" s="28">
        <v>45953.987639</v>
      </c>
      <c r="B97" s="29" t="s">
        <v>14</v>
      </c>
      <c r="C97" s="29" t="s">
        <v>69</v>
      </c>
      <c r="D97" s="29" t="s">
        <v>70</v>
      </c>
      <c r="E97" s="29" t="s">
        <v>21</v>
      </c>
      <c r="F97" s="29">
        <v>209</v>
      </c>
      <c r="G97" s="29">
        <v>0.17</v>
      </c>
      <c r="H97" s="29">
        <v>35.53</v>
      </c>
      <c r="I97" s="36">
        <v>209</v>
      </c>
      <c r="J97" s="30">
        <f t="shared" si="3"/>
        <v>35.53</v>
      </c>
      <c r="K97" s="31">
        <f t="shared" si="4"/>
        <v>0</v>
      </c>
      <c r="M97" s="37"/>
      <c r="N97" s="37"/>
    </row>
    <row r="98" s="5" customFormat="1" ht="15" customHeight="1" spans="1:14">
      <c r="A98" s="28">
        <v>45953.987639</v>
      </c>
      <c r="B98" s="29" t="s">
        <v>14</v>
      </c>
      <c r="C98" s="29" t="s">
        <v>69</v>
      </c>
      <c r="D98" s="29" t="s">
        <v>71</v>
      </c>
      <c r="E98" s="29" t="s">
        <v>21</v>
      </c>
      <c r="F98" s="29">
        <v>504</v>
      </c>
      <c r="G98" s="29">
        <v>0.17</v>
      </c>
      <c r="H98" s="29">
        <v>85.68</v>
      </c>
      <c r="I98" s="36">
        <f>1341+1386-I35-I84</f>
        <v>252</v>
      </c>
      <c r="J98" s="30">
        <f t="shared" si="3"/>
        <v>42.84</v>
      </c>
      <c r="K98" s="31">
        <f t="shared" si="4"/>
        <v>42.84</v>
      </c>
      <c r="M98" s="37"/>
      <c r="N98" s="37"/>
    </row>
    <row r="99" s="5" customFormat="1" ht="15" customHeight="1" spans="1:14">
      <c r="A99" s="28">
        <v>45953.987639</v>
      </c>
      <c r="B99" s="29" t="s">
        <v>14</v>
      </c>
      <c r="C99" s="29" t="s">
        <v>69</v>
      </c>
      <c r="D99" s="29" t="s">
        <v>72</v>
      </c>
      <c r="E99" s="29" t="s">
        <v>21</v>
      </c>
      <c r="F99" s="29">
        <v>1542</v>
      </c>
      <c r="G99" s="29">
        <v>0.17</v>
      </c>
      <c r="H99" s="29">
        <v>262.14</v>
      </c>
      <c r="I99" s="36">
        <f>4534-3352</f>
        <v>1182</v>
      </c>
      <c r="J99" s="30">
        <f t="shared" si="3"/>
        <v>200.94</v>
      </c>
      <c r="K99" s="31">
        <f t="shared" si="4"/>
        <v>61.2</v>
      </c>
      <c r="M99" s="37"/>
      <c r="N99" s="37"/>
    </row>
    <row r="100" s="5" customFormat="1" ht="15" customHeight="1" spans="1:14">
      <c r="A100" s="28">
        <v>45953.987639</v>
      </c>
      <c r="B100" s="29" t="s">
        <v>14</v>
      </c>
      <c r="C100" s="29" t="s">
        <v>69</v>
      </c>
      <c r="D100" s="29" t="s">
        <v>73</v>
      </c>
      <c r="E100" s="29" t="s">
        <v>21</v>
      </c>
      <c r="F100" s="29">
        <v>508</v>
      </c>
      <c r="G100" s="29">
        <v>0.17</v>
      </c>
      <c r="H100" s="29">
        <v>86.36</v>
      </c>
      <c r="I100" s="36">
        <v>0</v>
      </c>
      <c r="J100" s="30">
        <f t="shared" si="3"/>
        <v>0</v>
      </c>
      <c r="K100" s="31">
        <f t="shared" si="4"/>
        <v>86.36</v>
      </c>
      <c r="M100" s="37"/>
      <c r="N100" s="37"/>
    </row>
    <row r="101" s="5" customFormat="1" ht="15" customHeight="1" spans="1:14">
      <c r="A101" s="28">
        <v>45953.987639</v>
      </c>
      <c r="B101" s="29" t="s">
        <v>14</v>
      </c>
      <c r="C101" s="29" t="s">
        <v>69</v>
      </c>
      <c r="D101" s="29" t="s">
        <v>74</v>
      </c>
      <c r="E101" s="29" t="s">
        <v>21</v>
      </c>
      <c r="F101" s="29">
        <v>337</v>
      </c>
      <c r="G101" s="29">
        <v>0.17</v>
      </c>
      <c r="H101" s="29">
        <v>57.29</v>
      </c>
      <c r="I101" s="36">
        <f>1364-I68</f>
        <v>139</v>
      </c>
      <c r="J101" s="30">
        <f t="shared" si="3"/>
        <v>23.63</v>
      </c>
      <c r="K101" s="31">
        <f t="shared" si="4"/>
        <v>33.66</v>
      </c>
      <c r="M101" s="37"/>
      <c r="N101" s="37"/>
    </row>
    <row r="102" s="5" customFormat="1" ht="15" customHeight="1" spans="1:14">
      <c r="A102" s="28">
        <v>45953.987639</v>
      </c>
      <c r="B102" s="29" t="s">
        <v>14</v>
      </c>
      <c r="C102" s="29" t="s">
        <v>69</v>
      </c>
      <c r="D102" s="29" t="s">
        <v>75</v>
      </c>
      <c r="E102" s="29" t="s">
        <v>21</v>
      </c>
      <c r="F102" s="29">
        <v>826</v>
      </c>
      <c r="G102" s="29">
        <v>0.17</v>
      </c>
      <c r="H102" s="29">
        <v>140.42</v>
      </c>
      <c r="I102" s="36">
        <f>3410-I72</f>
        <v>420</v>
      </c>
      <c r="J102" s="30">
        <f t="shared" si="3"/>
        <v>71.4</v>
      </c>
      <c r="K102" s="31">
        <f t="shared" si="4"/>
        <v>69.02</v>
      </c>
      <c r="M102" s="37"/>
      <c r="N102" s="37"/>
    </row>
    <row r="103" s="5" customFormat="1" ht="15" customHeight="1" spans="1:14">
      <c r="A103" s="28">
        <v>45953.987639</v>
      </c>
      <c r="B103" s="29" t="s">
        <v>14</v>
      </c>
      <c r="C103" s="29" t="s">
        <v>69</v>
      </c>
      <c r="D103" s="29" t="s">
        <v>76</v>
      </c>
      <c r="E103" s="29" t="s">
        <v>21</v>
      </c>
      <c r="F103" s="29">
        <v>337</v>
      </c>
      <c r="G103" s="29">
        <v>0.17</v>
      </c>
      <c r="H103" s="29">
        <v>57.29</v>
      </c>
      <c r="I103" s="36">
        <f>1364-I76</f>
        <v>139</v>
      </c>
      <c r="J103" s="30">
        <f t="shared" si="3"/>
        <v>23.63</v>
      </c>
      <c r="K103" s="31">
        <f t="shared" si="4"/>
        <v>33.66</v>
      </c>
      <c r="M103" s="37"/>
      <c r="N103" s="37"/>
    </row>
    <row r="104" s="5" customFormat="1" ht="15" customHeight="1" spans="1:14">
      <c r="A104" s="28">
        <v>45954.953241</v>
      </c>
      <c r="B104" s="29" t="s">
        <v>14</v>
      </c>
      <c r="C104" s="29" t="s">
        <v>77</v>
      </c>
      <c r="D104" s="29" t="s">
        <v>78</v>
      </c>
      <c r="E104" s="29" t="s">
        <v>21</v>
      </c>
      <c r="F104" s="29">
        <v>1464</v>
      </c>
      <c r="G104" s="29">
        <v>0.17</v>
      </c>
      <c r="H104" s="29">
        <v>248.88</v>
      </c>
      <c r="I104" s="36">
        <v>1464</v>
      </c>
      <c r="J104" s="30">
        <f t="shared" si="3"/>
        <v>248.88</v>
      </c>
      <c r="K104" s="31">
        <f t="shared" si="4"/>
        <v>0</v>
      </c>
      <c r="M104" s="37"/>
      <c r="N104" s="37"/>
    </row>
    <row r="105" s="5" customFormat="1" ht="15" customHeight="1" spans="1:14">
      <c r="A105" s="28">
        <v>45954.953241</v>
      </c>
      <c r="B105" s="29" t="s">
        <v>14</v>
      </c>
      <c r="C105" s="29" t="s">
        <v>77</v>
      </c>
      <c r="D105" s="29" t="s">
        <v>78</v>
      </c>
      <c r="E105" s="29" t="s">
        <v>79</v>
      </c>
      <c r="F105" s="29">
        <v>346</v>
      </c>
      <c r="G105" s="29">
        <v>0.17</v>
      </c>
      <c r="H105" s="29">
        <v>58.82</v>
      </c>
      <c r="I105" s="36">
        <f>4770-I92-I104</f>
        <v>196</v>
      </c>
      <c r="J105" s="30">
        <f t="shared" si="3"/>
        <v>33.32</v>
      </c>
      <c r="K105" s="31">
        <f t="shared" si="4"/>
        <v>25.5</v>
      </c>
      <c r="M105" s="37"/>
      <c r="N105" s="37"/>
    </row>
    <row r="106" s="5" customFormat="1" ht="15" customHeight="1" spans="1:14">
      <c r="A106" s="28">
        <v>45954.953241</v>
      </c>
      <c r="B106" s="29" t="s">
        <v>14</v>
      </c>
      <c r="C106" s="29" t="s">
        <v>77</v>
      </c>
      <c r="D106" s="29" t="s">
        <v>78</v>
      </c>
      <c r="E106" s="29" t="s">
        <v>28</v>
      </c>
      <c r="F106" s="29">
        <v>324</v>
      </c>
      <c r="G106" s="29">
        <v>0.08</v>
      </c>
      <c r="H106" s="29">
        <v>25.92</v>
      </c>
      <c r="I106" s="36">
        <v>324</v>
      </c>
      <c r="J106" s="30">
        <f t="shared" si="3"/>
        <v>25.92</v>
      </c>
      <c r="K106" s="31">
        <f t="shared" si="4"/>
        <v>0</v>
      </c>
      <c r="M106" s="37"/>
      <c r="N106" s="37"/>
    </row>
    <row r="107" s="5" customFormat="1" ht="15" customHeight="1" spans="1:14">
      <c r="A107" s="28">
        <v>45954.967407</v>
      </c>
      <c r="B107" s="29" t="s">
        <v>14</v>
      </c>
      <c r="C107" s="29" t="s">
        <v>80</v>
      </c>
      <c r="D107" s="29" t="s">
        <v>81</v>
      </c>
      <c r="E107" s="29" t="s">
        <v>21</v>
      </c>
      <c r="F107" s="29">
        <v>805</v>
      </c>
      <c r="G107" s="29">
        <v>0.17</v>
      </c>
      <c r="H107" s="29">
        <v>136.85</v>
      </c>
      <c r="I107" s="36">
        <v>805</v>
      </c>
      <c r="J107" s="30">
        <f t="shared" si="3"/>
        <v>136.85</v>
      </c>
      <c r="K107" s="31">
        <f t="shared" si="4"/>
        <v>0</v>
      </c>
      <c r="M107" s="37"/>
      <c r="N107" s="37"/>
    </row>
    <row r="108" s="5" customFormat="1" ht="15" customHeight="1" spans="1:14">
      <c r="A108" s="28">
        <v>45954.967407</v>
      </c>
      <c r="B108" s="29" t="s">
        <v>14</v>
      </c>
      <c r="C108" s="29" t="s">
        <v>80</v>
      </c>
      <c r="D108" s="29" t="s">
        <v>81</v>
      </c>
      <c r="E108" s="29" t="s">
        <v>79</v>
      </c>
      <c r="F108" s="29">
        <v>198</v>
      </c>
      <c r="G108" s="29">
        <v>0.17</v>
      </c>
      <c r="H108" s="29">
        <v>33.66</v>
      </c>
      <c r="I108" s="36">
        <v>198</v>
      </c>
      <c r="J108" s="30">
        <f t="shared" si="3"/>
        <v>33.66</v>
      </c>
      <c r="K108" s="31">
        <f t="shared" si="4"/>
        <v>0</v>
      </c>
      <c r="M108" s="37"/>
      <c r="N108" s="37"/>
    </row>
    <row r="109" s="5" customFormat="1" ht="15" customHeight="1" spans="1:14">
      <c r="A109" s="28">
        <v>45954.967407</v>
      </c>
      <c r="B109" s="29" t="s">
        <v>14</v>
      </c>
      <c r="C109" s="29" t="s">
        <v>80</v>
      </c>
      <c r="D109" s="29" t="s">
        <v>81</v>
      </c>
      <c r="E109" s="29" t="s">
        <v>28</v>
      </c>
      <c r="F109" s="29">
        <v>187</v>
      </c>
      <c r="G109" s="29">
        <v>0.08</v>
      </c>
      <c r="H109" s="29">
        <v>14.96</v>
      </c>
      <c r="I109" s="36">
        <v>187</v>
      </c>
      <c r="J109" s="30">
        <f t="shared" si="3"/>
        <v>14.96</v>
      </c>
      <c r="K109" s="31">
        <f t="shared" si="4"/>
        <v>0</v>
      </c>
      <c r="M109" s="37"/>
      <c r="N109" s="37"/>
    </row>
    <row r="110" s="5" customFormat="1" ht="15" customHeight="1" spans="1:14">
      <c r="A110" s="28">
        <v>45964.716019</v>
      </c>
      <c r="B110" s="29" t="s">
        <v>14</v>
      </c>
      <c r="C110" s="29" t="s">
        <v>82</v>
      </c>
      <c r="D110" s="29" t="s">
        <v>52</v>
      </c>
      <c r="E110" s="29" t="s">
        <v>20</v>
      </c>
      <c r="F110" s="29">
        <v>4918</v>
      </c>
      <c r="G110" s="29">
        <v>0.065</v>
      </c>
      <c r="H110" s="29">
        <v>319.67</v>
      </c>
      <c r="I110" s="36">
        <v>4770</v>
      </c>
      <c r="J110" s="30">
        <f t="shared" si="3"/>
        <v>310.05</v>
      </c>
      <c r="K110" s="31">
        <f t="shared" si="4"/>
        <v>9.62</v>
      </c>
      <c r="M110" s="37"/>
      <c r="N110" s="37"/>
    </row>
    <row r="111" s="5" customFormat="1" ht="15" customHeight="1" spans="1:14">
      <c r="A111" s="28">
        <v>45964.716019</v>
      </c>
      <c r="B111" s="29" t="s">
        <v>14</v>
      </c>
      <c r="C111" s="29" t="s">
        <v>82</v>
      </c>
      <c r="D111" s="29" t="s">
        <v>51</v>
      </c>
      <c r="E111" s="29" t="s">
        <v>20</v>
      </c>
      <c r="F111" s="29">
        <v>2763</v>
      </c>
      <c r="G111" s="29">
        <v>0.065</v>
      </c>
      <c r="H111" s="29">
        <v>179.6</v>
      </c>
      <c r="I111" s="36">
        <v>2763</v>
      </c>
      <c r="J111" s="30">
        <f t="shared" si="3"/>
        <v>179.595</v>
      </c>
      <c r="K111" s="31">
        <f t="shared" si="4"/>
        <v>0.00499999999999545</v>
      </c>
      <c r="M111" s="37"/>
      <c r="N111" s="37"/>
    </row>
    <row r="112" s="5" customFormat="1" ht="15" customHeight="1" spans="1:14">
      <c r="A112" s="28">
        <v>45968.436887</v>
      </c>
      <c r="B112" s="29" t="s">
        <v>14</v>
      </c>
      <c r="C112" s="29" t="s">
        <v>83</v>
      </c>
      <c r="D112" s="29" t="s">
        <v>84</v>
      </c>
      <c r="E112" s="29" t="s">
        <v>21</v>
      </c>
      <c r="F112" s="29">
        <v>330</v>
      </c>
      <c r="G112" s="29">
        <v>0.17</v>
      </c>
      <c r="H112" s="29">
        <v>56.1</v>
      </c>
      <c r="I112" s="36">
        <f>1507-I38-I97</f>
        <v>150</v>
      </c>
      <c r="J112" s="30">
        <f t="shared" si="3"/>
        <v>25.5</v>
      </c>
      <c r="K112" s="31">
        <f t="shared" si="4"/>
        <v>30.6</v>
      </c>
      <c r="M112" s="37"/>
      <c r="N112" s="37"/>
    </row>
    <row r="113" s="5" customFormat="1" ht="15" customHeight="1" spans="1:14">
      <c r="A113" s="28">
        <v>45968.436887</v>
      </c>
      <c r="B113" s="29" t="s">
        <v>14</v>
      </c>
      <c r="C113" s="29" t="s">
        <v>83</v>
      </c>
      <c r="D113" s="29" t="s">
        <v>84</v>
      </c>
      <c r="E113" s="29" t="s">
        <v>34</v>
      </c>
      <c r="F113" s="29">
        <v>388</v>
      </c>
      <c r="G113" s="29">
        <v>0.38</v>
      </c>
      <c r="H113" s="29">
        <v>147.44</v>
      </c>
      <c r="I113" s="36">
        <f>1507-I27</f>
        <v>161</v>
      </c>
      <c r="J113" s="30">
        <f t="shared" si="3"/>
        <v>61.18</v>
      </c>
      <c r="K113" s="31">
        <f t="shared" si="4"/>
        <v>86.26</v>
      </c>
      <c r="M113" s="37"/>
      <c r="N113" s="37"/>
    </row>
    <row r="114" s="5" customFormat="1" ht="15" customHeight="1" spans="1:14">
      <c r="A114" s="28">
        <v>45968.436887</v>
      </c>
      <c r="B114" s="29" t="s">
        <v>14</v>
      </c>
      <c r="C114" s="29" t="s">
        <v>83</v>
      </c>
      <c r="D114" s="29" t="s">
        <v>84</v>
      </c>
      <c r="E114" s="29" t="s">
        <v>25</v>
      </c>
      <c r="F114" s="29">
        <v>200</v>
      </c>
      <c r="G114" s="29">
        <v>0.24</v>
      </c>
      <c r="H114" s="29">
        <v>48</v>
      </c>
      <c r="I114" s="36">
        <f>1507-I80</f>
        <v>161</v>
      </c>
      <c r="J114" s="30">
        <f t="shared" si="3"/>
        <v>38.64</v>
      </c>
      <c r="K114" s="31">
        <f t="shared" si="4"/>
        <v>9.36</v>
      </c>
      <c r="M114" s="37"/>
      <c r="N114" s="37"/>
    </row>
    <row r="115" s="5" customFormat="1" ht="15" customHeight="1" spans="1:14">
      <c r="A115" s="28">
        <v>45977.927662</v>
      </c>
      <c r="B115" s="29" t="s">
        <v>14</v>
      </c>
      <c r="C115" s="29" t="s">
        <v>85</v>
      </c>
      <c r="D115" s="29" t="s">
        <v>86</v>
      </c>
      <c r="E115" s="29" t="s">
        <v>25</v>
      </c>
      <c r="F115" s="29">
        <v>2938</v>
      </c>
      <c r="G115" s="29">
        <v>0.24</v>
      </c>
      <c r="H115" s="29">
        <v>705.12</v>
      </c>
      <c r="I115" s="36">
        <v>3078</v>
      </c>
      <c r="J115" s="30">
        <f t="shared" si="3"/>
        <v>738.72</v>
      </c>
      <c r="K115" s="31">
        <f t="shared" si="4"/>
        <v>-33.6</v>
      </c>
      <c r="M115" s="37"/>
      <c r="N115" s="37"/>
    </row>
    <row r="116" s="5" customFormat="1" ht="15" customHeight="1" spans="1:14">
      <c r="A116" s="28">
        <v>45977.927662</v>
      </c>
      <c r="B116" s="29" t="s">
        <v>14</v>
      </c>
      <c r="C116" s="29" t="s">
        <v>85</v>
      </c>
      <c r="D116" s="29" t="s">
        <v>86</v>
      </c>
      <c r="E116" s="29" t="s">
        <v>17</v>
      </c>
      <c r="F116" s="29">
        <v>325</v>
      </c>
      <c r="G116" s="29">
        <v>0.35</v>
      </c>
      <c r="H116" s="29">
        <v>113.75</v>
      </c>
      <c r="I116" s="36">
        <v>325</v>
      </c>
      <c r="J116" s="30">
        <f t="shared" si="3"/>
        <v>113.75</v>
      </c>
      <c r="K116" s="31">
        <f t="shared" si="4"/>
        <v>0</v>
      </c>
      <c r="M116" s="37"/>
      <c r="N116" s="37"/>
    </row>
    <row r="117" s="5" customFormat="1" ht="15" customHeight="1" spans="1:14">
      <c r="A117" s="28">
        <v>45977.927662</v>
      </c>
      <c r="B117" s="29" t="s">
        <v>14</v>
      </c>
      <c r="C117" s="29" t="s">
        <v>85</v>
      </c>
      <c r="D117" s="29" t="s">
        <v>86</v>
      </c>
      <c r="E117" s="29" t="s">
        <v>21</v>
      </c>
      <c r="F117" s="29">
        <v>2577</v>
      </c>
      <c r="G117" s="29">
        <v>0.17</v>
      </c>
      <c r="H117" s="29">
        <v>438.09</v>
      </c>
      <c r="I117" s="36">
        <v>2577</v>
      </c>
      <c r="J117" s="30">
        <f t="shared" si="3"/>
        <v>438.09</v>
      </c>
      <c r="K117" s="31">
        <f t="shared" si="4"/>
        <v>0</v>
      </c>
      <c r="M117" s="37"/>
      <c r="N117" s="37"/>
    </row>
    <row r="118" s="5" customFormat="1" ht="15" customHeight="1" spans="1:14">
      <c r="A118" s="28">
        <v>45977.927662</v>
      </c>
      <c r="B118" s="29" t="s">
        <v>14</v>
      </c>
      <c r="C118" s="29" t="s">
        <v>85</v>
      </c>
      <c r="D118" s="29" t="s">
        <v>86</v>
      </c>
      <c r="E118" s="29" t="s">
        <v>34</v>
      </c>
      <c r="F118" s="29">
        <v>2940</v>
      </c>
      <c r="G118" s="29">
        <v>0.38</v>
      </c>
      <c r="H118" s="29">
        <v>1117.2</v>
      </c>
      <c r="I118" s="36">
        <v>3078</v>
      </c>
      <c r="J118" s="30">
        <f t="shared" si="3"/>
        <v>1169.64</v>
      </c>
      <c r="K118" s="31">
        <f t="shared" si="4"/>
        <v>-52.4400000000001</v>
      </c>
      <c r="M118" s="37"/>
      <c r="N118" s="37"/>
    </row>
    <row r="119" s="5" customFormat="1" ht="15" customHeight="1" spans="1:14">
      <c r="A119" s="28">
        <v>45977.927662</v>
      </c>
      <c r="B119" s="29" t="s">
        <v>14</v>
      </c>
      <c r="C119" s="29" t="s">
        <v>85</v>
      </c>
      <c r="D119" s="29" t="s">
        <v>86</v>
      </c>
      <c r="E119" s="29" t="s">
        <v>20</v>
      </c>
      <c r="F119" s="29">
        <v>2940</v>
      </c>
      <c r="G119" s="29">
        <v>0.065</v>
      </c>
      <c r="H119" s="29">
        <v>191.1</v>
      </c>
      <c r="I119" s="36">
        <v>3078</v>
      </c>
      <c r="J119" s="30">
        <f t="shared" si="3"/>
        <v>200.07</v>
      </c>
      <c r="K119" s="31">
        <f t="shared" si="4"/>
        <v>-8.97</v>
      </c>
      <c r="M119" s="37"/>
      <c r="N119" s="37"/>
    </row>
    <row r="120" s="5" customFormat="1" ht="15" customHeight="1" spans="1:14">
      <c r="A120" s="28">
        <v>45977.934433</v>
      </c>
      <c r="B120" s="29" t="s">
        <v>14</v>
      </c>
      <c r="C120" s="29" t="s">
        <v>87</v>
      </c>
      <c r="D120" s="29" t="s">
        <v>88</v>
      </c>
      <c r="E120" s="29" t="s">
        <v>25</v>
      </c>
      <c r="F120" s="29">
        <v>1517</v>
      </c>
      <c r="G120" s="29">
        <v>0.08</v>
      </c>
      <c r="H120" s="29">
        <v>121.36</v>
      </c>
      <c r="I120" s="36">
        <v>1431</v>
      </c>
      <c r="J120" s="30">
        <f t="shared" si="3"/>
        <v>114.48</v>
      </c>
      <c r="K120" s="31">
        <f t="shared" si="4"/>
        <v>6.88</v>
      </c>
      <c r="M120" s="37"/>
      <c r="N120" s="37"/>
    </row>
    <row r="121" s="5" customFormat="1" ht="15" customHeight="1" spans="1:14">
      <c r="A121" s="28">
        <v>45977.934433</v>
      </c>
      <c r="B121" s="29" t="s">
        <v>14</v>
      </c>
      <c r="C121" s="29" t="s">
        <v>87</v>
      </c>
      <c r="D121" s="29" t="s">
        <v>88</v>
      </c>
      <c r="E121" s="29" t="s">
        <v>17</v>
      </c>
      <c r="F121" s="29">
        <v>163</v>
      </c>
      <c r="G121" s="29">
        <v>0.35</v>
      </c>
      <c r="H121" s="29">
        <v>57.05</v>
      </c>
      <c r="I121" s="36">
        <v>163</v>
      </c>
      <c r="J121" s="30">
        <f t="shared" si="3"/>
        <v>57.05</v>
      </c>
      <c r="K121" s="31">
        <f t="shared" si="4"/>
        <v>0</v>
      </c>
      <c r="M121" s="37"/>
      <c r="N121" s="37"/>
    </row>
    <row r="122" s="5" customFormat="1" ht="15" customHeight="1" spans="1:14">
      <c r="A122" s="28">
        <v>45977.934433</v>
      </c>
      <c r="B122" s="29" t="s">
        <v>14</v>
      </c>
      <c r="C122" s="29" t="s">
        <v>87</v>
      </c>
      <c r="D122" s="29" t="s">
        <v>88</v>
      </c>
      <c r="E122" s="29" t="s">
        <v>21</v>
      </c>
      <c r="F122" s="29">
        <v>1326</v>
      </c>
      <c r="G122" s="29">
        <v>0.17</v>
      </c>
      <c r="H122" s="29">
        <v>225.42</v>
      </c>
      <c r="I122" s="36">
        <v>1326</v>
      </c>
      <c r="J122" s="30">
        <f t="shared" si="3"/>
        <v>225.42</v>
      </c>
      <c r="K122" s="31">
        <f t="shared" si="4"/>
        <v>0</v>
      </c>
      <c r="M122" s="37"/>
      <c r="N122" s="37"/>
    </row>
    <row r="123" s="5" customFormat="1" ht="15" customHeight="1" spans="1:14">
      <c r="A123" s="28">
        <v>45977.934433</v>
      </c>
      <c r="B123" s="29" t="s">
        <v>14</v>
      </c>
      <c r="C123" s="29" t="s">
        <v>87</v>
      </c>
      <c r="D123" s="29" t="s">
        <v>88</v>
      </c>
      <c r="E123" s="29" t="s">
        <v>34</v>
      </c>
      <c r="F123" s="29">
        <v>1518</v>
      </c>
      <c r="G123" s="29">
        <v>0.38</v>
      </c>
      <c r="H123" s="29">
        <v>576.84</v>
      </c>
      <c r="I123" s="36">
        <v>1431</v>
      </c>
      <c r="J123" s="30">
        <f t="shared" si="3"/>
        <v>543.78</v>
      </c>
      <c r="K123" s="31">
        <f t="shared" si="4"/>
        <v>33.0600000000001</v>
      </c>
      <c r="M123" s="37"/>
      <c r="N123" s="37"/>
    </row>
    <row r="124" s="5" customFormat="1" ht="15" customHeight="1" spans="1:14">
      <c r="A124" s="28">
        <v>45977.934433</v>
      </c>
      <c r="B124" s="29" t="s">
        <v>14</v>
      </c>
      <c r="C124" s="29" t="s">
        <v>87</v>
      </c>
      <c r="D124" s="29" t="s">
        <v>88</v>
      </c>
      <c r="E124" s="29" t="s">
        <v>20</v>
      </c>
      <c r="F124" s="29">
        <v>1518</v>
      </c>
      <c r="G124" s="29">
        <v>0.065</v>
      </c>
      <c r="H124" s="29">
        <v>98.67</v>
      </c>
      <c r="I124" s="36">
        <v>1431</v>
      </c>
      <c r="J124" s="30">
        <f t="shared" si="3"/>
        <v>93.015</v>
      </c>
      <c r="K124" s="31">
        <f t="shared" si="4"/>
        <v>5.655</v>
      </c>
      <c r="M124" s="37"/>
      <c r="N124" s="37"/>
    </row>
    <row r="125" s="5" customFormat="1" ht="15" customHeight="1" spans="1:14">
      <c r="A125" s="28">
        <v>45980.913067</v>
      </c>
      <c r="B125" s="29" t="s">
        <v>14</v>
      </c>
      <c r="C125" s="29" t="s">
        <v>89</v>
      </c>
      <c r="D125" s="29" t="s">
        <v>90</v>
      </c>
      <c r="E125" s="29" t="s">
        <v>25</v>
      </c>
      <c r="F125" s="29">
        <v>260</v>
      </c>
      <c r="G125" s="29">
        <v>0.16</v>
      </c>
      <c r="H125" s="29">
        <v>41.6</v>
      </c>
      <c r="I125" s="36">
        <f>2904-I93-I94</f>
        <v>140</v>
      </c>
      <c r="J125" s="30">
        <f t="shared" si="3"/>
        <v>22.4</v>
      </c>
      <c r="K125" s="31">
        <f t="shared" si="4"/>
        <v>19.2</v>
      </c>
      <c r="M125" s="37"/>
      <c r="N125" s="37"/>
    </row>
    <row r="126" s="5" customFormat="1" ht="15" customHeight="1" spans="1:14">
      <c r="A126" s="28">
        <v>45980.913067</v>
      </c>
      <c r="B126" s="29" t="s">
        <v>14</v>
      </c>
      <c r="C126" s="29" t="s">
        <v>89</v>
      </c>
      <c r="D126" s="29" t="s">
        <v>90</v>
      </c>
      <c r="E126" s="29" t="s">
        <v>34</v>
      </c>
      <c r="F126" s="29">
        <v>1030</v>
      </c>
      <c r="G126" s="29">
        <v>0.38</v>
      </c>
      <c r="H126" s="29">
        <v>391.4</v>
      </c>
      <c r="I126" s="36">
        <f>2904-I46</f>
        <v>147</v>
      </c>
      <c r="J126" s="30">
        <f t="shared" si="3"/>
        <v>55.86</v>
      </c>
      <c r="K126" s="31">
        <f t="shared" si="4"/>
        <v>335.54</v>
      </c>
      <c r="M126" s="37"/>
      <c r="N126" s="37"/>
    </row>
    <row r="127" s="5" customFormat="1" ht="15" customHeight="1" spans="1:14">
      <c r="A127" s="28">
        <v>45980.913067</v>
      </c>
      <c r="B127" s="29" t="s">
        <v>14</v>
      </c>
      <c r="C127" s="29" t="s">
        <v>89</v>
      </c>
      <c r="D127" s="29" t="s">
        <v>90</v>
      </c>
      <c r="E127" s="29" t="s">
        <v>20</v>
      </c>
      <c r="F127" s="29">
        <v>376</v>
      </c>
      <c r="G127" s="29">
        <v>0.065</v>
      </c>
      <c r="H127" s="29">
        <v>24.44</v>
      </c>
      <c r="I127" s="36">
        <f>2904-I111</f>
        <v>141</v>
      </c>
      <c r="J127" s="30">
        <f t="shared" si="3"/>
        <v>9.165</v>
      </c>
      <c r="K127" s="31">
        <f t="shared" si="4"/>
        <v>15.275</v>
      </c>
      <c r="M127" s="37"/>
      <c r="N127" s="37"/>
    </row>
    <row r="128" s="5" customFormat="1" ht="15" customHeight="1" spans="1:14">
      <c r="A128" s="28">
        <v>45980.913067</v>
      </c>
      <c r="B128" s="29" t="s">
        <v>14</v>
      </c>
      <c r="C128" s="29" t="s">
        <v>89</v>
      </c>
      <c r="D128" s="29" t="s">
        <v>90</v>
      </c>
      <c r="E128" s="29" t="s">
        <v>21</v>
      </c>
      <c r="F128" s="29">
        <v>376</v>
      </c>
      <c r="G128" s="29">
        <v>0.17</v>
      </c>
      <c r="H128" s="29">
        <v>63.92</v>
      </c>
      <c r="I128" s="36">
        <f>2904-I96-I107-I108</f>
        <v>141</v>
      </c>
      <c r="J128" s="30">
        <f t="shared" si="3"/>
        <v>23.97</v>
      </c>
      <c r="K128" s="31">
        <f t="shared" si="4"/>
        <v>39.95</v>
      </c>
      <c r="M128" s="37"/>
      <c r="N128" s="37"/>
    </row>
    <row r="129" s="5" customFormat="1" ht="15" customHeight="1" spans="1:14">
      <c r="A129" s="28">
        <v>45988.735208</v>
      </c>
      <c r="B129" s="29" t="s">
        <v>14</v>
      </c>
      <c r="C129" s="29" t="s">
        <v>91</v>
      </c>
      <c r="D129" s="29" t="s">
        <v>42</v>
      </c>
      <c r="E129" s="29" t="s">
        <v>20</v>
      </c>
      <c r="F129" s="29">
        <v>40</v>
      </c>
      <c r="G129" s="29">
        <v>0.12</v>
      </c>
      <c r="H129" s="29">
        <v>4.8</v>
      </c>
      <c r="I129" s="36">
        <v>40</v>
      </c>
      <c r="J129" s="30">
        <f t="shared" si="3"/>
        <v>4.8</v>
      </c>
      <c r="K129" s="31">
        <f t="shared" si="4"/>
        <v>0</v>
      </c>
      <c r="M129" s="37"/>
      <c r="N129" s="37"/>
    </row>
    <row r="130" s="5" customFormat="1" ht="15" customHeight="1" spans="1:14">
      <c r="A130" s="28">
        <v>45988.735208</v>
      </c>
      <c r="B130" s="29" t="s">
        <v>14</v>
      </c>
      <c r="C130" s="29" t="s">
        <v>91</v>
      </c>
      <c r="D130" s="29" t="s">
        <v>42</v>
      </c>
      <c r="E130" s="29" t="s">
        <v>31</v>
      </c>
      <c r="F130" s="29">
        <v>64</v>
      </c>
      <c r="G130" s="29">
        <v>0.35</v>
      </c>
      <c r="H130" s="29">
        <v>22.4</v>
      </c>
      <c r="I130" s="36">
        <v>64</v>
      </c>
      <c r="J130" s="30">
        <f t="shared" si="3"/>
        <v>22.4</v>
      </c>
      <c r="K130" s="31">
        <f t="shared" si="4"/>
        <v>0</v>
      </c>
      <c r="M130" s="37"/>
      <c r="N130" s="37"/>
    </row>
    <row r="131" s="5" customFormat="1" ht="15" customHeight="1" spans="1:14">
      <c r="A131" s="28">
        <v>45989.856285</v>
      </c>
      <c r="B131" s="29" t="s">
        <v>14</v>
      </c>
      <c r="C131" s="29" t="s">
        <v>92</v>
      </c>
      <c r="D131" s="29" t="s">
        <v>93</v>
      </c>
      <c r="E131" s="29" t="s">
        <v>21</v>
      </c>
      <c r="F131" s="29">
        <v>360</v>
      </c>
      <c r="G131" s="29">
        <v>0.17</v>
      </c>
      <c r="H131" s="29">
        <v>61.2</v>
      </c>
      <c r="I131" s="36">
        <f>3078-I117</f>
        <v>501</v>
      </c>
      <c r="J131" s="30">
        <f t="shared" si="3"/>
        <v>85.17</v>
      </c>
      <c r="K131" s="31">
        <f t="shared" si="4"/>
        <v>-23.97</v>
      </c>
      <c r="M131" s="37"/>
      <c r="N131" s="37"/>
    </row>
    <row r="132" s="5" customFormat="1" ht="15" customHeight="1" spans="1:14">
      <c r="A132" s="28">
        <v>45989.856285</v>
      </c>
      <c r="B132" s="29" t="s">
        <v>14</v>
      </c>
      <c r="C132" s="29" t="s">
        <v>92</v>
      </c>
      <c r="D132" s="29" t="s">
        <v>94</v>
      </c>
      <c r="E132" s="29" t="s">
        <v>21</v>
      </c>
      <c r="F132" s="29">
        <v>189</v>
      </c>
      <c r="G132" s="29">
        <v>0.17</v>
      </c>
      <c r="H132" s="29">
        <v>32.13</v>
      </c>
      <c r="I132" s="36">
        <f>1431-I122</f>
        <v>105</v>
      </c>
      <c r="J132" s="30">
        <f t="shared" ref="J132:J146" si="5">G132*I132</f>
        <v>17.85</v>
      </c>
      <c r="K132" s="31">
        <f t="shared" ref="K132:K146" si="6">H132-J132</f>
        <v>14.28</v>
      </c>
      <c r="M132" s="37"/>
      <c r="N132" s="37"/>
    </row>
    <row r="133" s="5" customFormat="1" ht="15" customHeight="1" spans="1:14">
      <c r="A133" s="28">
        <v>45989.875891</v>
      </c>
      <c r="B133" s="29" t="s">
        <v>14</v>
      </c>
      <c r="C133" s="29" t="s">
        <v>95</v>
      </c>
      <c r="D133" s="29" t="s">
        <v>96</v>
      </c>
      <c r="E133" s="29" t="s">
        <v>25</v>
      </c>
      <c r="F133" s="29">
        <v>1656</v>
      </c>
      <c r="G133" s="29">
        <v>0.16</v>
      </c>
      <c r="H133" s="29">
        <v>264.96</v>
      </c>
      <c r="I133" s="36">
        <v>1644</v>
      </c>
      <c r="J133" s="30">
        <f t="shared" si="5"/>
        <v>263.04</v>
      </c>
      <c r="K133" s="31">
        <f t="shared" si="6"/>
        <v>1.91999999999996</v>
      </c>
      <c r="M133" s="37"/>
      <c r="N133" s="37"/>
    </row>
    <row r="134" s="5" customFormat="1" ht="15" customHeight="1" spans="1:14">
      <c r="A134" s="28">
        <v>45989.875891</v>
      </c>
      <c r="B134" s="29" t="s">
        <v>14</v>
      </c>
      <c r="C134" s="29" t="s">
        <v>95</v>
      </c>
      <c r="D134" s="29" t="s">
        <v>96</v>
      </c>
      <c r="E134" s="29" t="s">
        <v>20</v>
      </c>
      <c r="F134" s="29">
        <v>1656</v>
      </c>
      <c r="G134" s="29">
        <v>0.065</v>
      </c>
      <c r="H134" s="29">
        <v>107.64</v>
      </c>
      <c r="I134" s="36">
        <v>1644</v>
      </c>
      <c r="J134" s="30">
        <f t="shared" si="5"/>
        <v>106.86</v>
      </c>
      <c r="K134" s="31">
        <f t="shared" si="6"/>
        <v>0.780000000000001</v>
      </c>
      <c r="M134" s="37"/>
      <c r="N134" s="37"/>
    </row>
    <row r="135" s="5" customFormat="1" ht="15" customHeight="1" spans="1:14">
      <c r="A135" s="28">
        <v>45989.875891</v>
      </c>
      <c r="B135" s="29" t="s">
        <v>14</v>
      </c>
      <c r="C135" s="29" t="s">
        <v>95</v>
      </c>
      <c r="D135" s="29" t="s">
        <v>96</v>
      </c>
      <c r="E135" s="29" t="s">
        <v>17</v>
      </c>
      <c r="F135" s="29">
        <v>139</v>
      </c>
      <c r="G135" s="29">
        <v>0.35</v>
      </c>
      <c r="H135" s="29">
        <v>48.65</v>
      </c>
      <c r="I135" s="36">
        <v>139</v>
      </c>
      <c r="J135" s="30">
        <f t="shared" si="5"/>
        <v>48.65</v>
      </c>
      <c r="K135" s="31">
        <f t="shared" si="6"/>
        <v>0</v>
      </c>
      <c r="M135" s="37"/>
      <c r="N135" s="37"/>
    </row>
    <row r="136" s="5" customFormat="1" ht="15" customHeight="1" spans="1:14">
      <c r="A136" s="28">
        <v>45989.875891</v>
      </c>
      <c r="B136" s="29" t="s">
        <v>14</v>
      </c>
      <c r="C136" s="29" t="s">
        <v>95</v>
      </c>
      <c r="D136" s="29" t="s">
        <v>96</v>
      </c>
      <c r="E136" s="29" t="s">
        <v>21</v>
      </c>
      <c r="F136" s="29">
        <v>1656</v>
      </c>
      <c r="G136" s="29">
        <v>0.17</v>
      </c>
      <c r="H136" s="29">
        <v>281.52</v>
      </c>
      <c r="I136" s="36">
        <v>1644</v>
      </c>
      <c r="J136" s="30">
        <f t="shared" si="5"/>
        <v>279.48</v>
      </c>
      <c r="K136" s="31">
        <f t="shared" si="6"/>
        <v>2.03999999999996</v>
      </c>
      <c r="M136" s="37"/>
      <c r="N136" s="37"/>
    </row>
    <row r="137" s="5" customFormat="1" ht="15" customHeight="1" spans="1:14">
      <c r="A137" s="28">
        <v>45989.875891</v>
      </c>
      <c r="B137" s="29" t="s">
        <v>14</v>
      </c>
      <c r="C137" s="29" t="s">
        <v>95</v>
      </c>
      <c r="D137" s="29" t="s">
        <v>96</v>
      </c>
      <c r="E137" s="29" t="s">
        <v>97</v>
      </c>
      <c r="F137" s="29">
        <v>1656</v>
      </c>
      <c r="G137" s="29">
        <v>0.09</v>
      </c>
      <c r="H137" s="29">
        <v>149.04</v>
      </c>
      <c r="I137" s="36">
        <v>1644</v>
      </c>
      <c r="J137" s="30">
        <f t="shared" si="5"/>
        <v>147.96</v>
      </c>
      <c r="K137" s="31">
        <f t="shared" si="6"/>
        <v>1.07999999999998</v>
      </c>
      <c r="M137" s="37"/>
      <c r="N137" s="37"/>
    </row>
    <row r="138" s="5" customFormat="1" ht="15" customHeight="1" spans="1:14">
      <c r="A138" s="28">
        <v>45989.875891</v>
      </c>
      <c r="B138" s="29" t="s">
        <v>14</v>
      </c>
      <c r="C138" s="29" t="s">
        <v>95</v>
      </c>
      <c r="D138" s="29" t="s">
        <v>96</v>
      </c>
      <c r="E138" s="29" t="s">
        <v>18</v>
      </c>
      <c r="F138" s="29">
        <v>1656</v>
      </c>
      <c r="G138" s="29">
        <v>0.1</v>
      </c>
      <c r="H138" s="29">
        <v>165.6</v>
      </c>
      <c r="I138" s="36">
        <v>1644</v>
      </c>
      <c r="J138" s="30">
        <f t="shared" si="5"/>
        <v>164.4</v>
      </c>
      <c r="K138" s="31">
        <f t="shared" si="6"/>
        <v>1.19999999999999</v>
      </c>
      <c r="M138" s="37"/>
      <c r="N138" s="37"/>
    </row>
    <row r="139" s="5" customFormat="1" ht="15" customHeight="1" spans="1:14">
      <c r="A139" s="28">
        <v>45989.902558</v>
      </c>
      <c r="B139" s="29" t="s">
        <v>14</v>
      </c>
      <c r="C139" s="29" t="s">
        <v>98</v>
      </c>
      <c r="D139" s="29" t="s">
        <v>99</v>
      </c>
      <c r="E139" s="29" t="s">
        <v>25</v>
      </c>
      <c r="F139" s="29">
        <v>2205</v>
      </c>
      <c r="G139" s="29">
        <v>0.16</v>
      </c>
      <c r="H139" s="29">
        <v>352.8</v>
      </c>
      <c r="I139" s="36">
        <v>2079</v>
      </c>
      <c r="J139" s="30">
        <f t="shared" si="5"/>
        <v>332.64</v>
      </c>
      <c r="K139" s="31">
        <f t="shared" si="6"/>
        <v>20.16</v>
      </c>
      <c r="M139" s="37"/>
      <c r="N139" s="37"/>
    </row>
    <row r="140" s="5" customFormat="1" ht="15" customHeight="1" spans="1:14">
      <c r="A140" s="28">
        <v>45989.902558</v>
      </c>
      <c r="B140" s="29" t="s">
        <v>14</v>
      </c>
      <c r="C140" s="29" t="s">
        <v>98</v>
      </c>
      <c r="D140" s="29" t="s">
        <v>99</v>
      </c>
      <c r="E140" s="29" t="s">
        <v>20</v>
      </c>
      <c r="F140" s="29">
        <v>2205</v>
      </c>
      <c r="G140" s="29">
        <v>0.065</v>
      </c>
      <c r="H140" s="29">
        <v>143.33</v>
      </c>
      <c r="I140" s="36">
        <v>2079</v>
      </c>
      <c r="J140" s="30">
        <f t="shared" si="5"/>
        <v>135.135</v>
      </c>
      <c r="K140" s="31">
        <f t="shared" si="6"/>
        <v>8.19500000000002</v>
      </c>
      <c r="M140" s="37"/>
      <c r="N140" s="37"/>
    </row>
    <row r="141" s="5" customFormat="1" ht="15" customHeight="1" spans="1:14">
      <c r="A141" s="28">
        <v>45989.902558</v>
      </c>
      <c r="B141" s="29" t="s">
        <v>14</v>
      </c>
      <c r="C141" s="29" t="s">
        <v>98</v>
      </c>
      <c r="D141" s="29" t="s">
        <v>99</v>
      </c>
      <c r="E141" s="29" t="s">
        <v>17</v>
      </c>
      <c r="F141" s="29">
        <v>203</v>
      </c>
      <c r="G141" s="29">
        <v>0.35</v>
      </c>
      <c r="H141" s="29">
        <v>71.05</v>
      </c>
      <c r="I141" s="36">
        <v>203</v>
      </c>
      <c r="J141" s="30">
        <f t="shared" si="5"/>
        <v>71.05</v>
      </c>
      <c r="K141" s="31">
        <f t="shared" si="6"/>
        <v>0</v>
      </c>
      <c r="M141" s="37"/>
      <c r="N141" s="37"/>
    </row>
    <row r="142" s="5" customFormat="1" ht="15" customHeight="1" spans="1:14">
      <c r="A142" s="28">
        <v>45989.902558</v>
      </c>
      <c r="B142" s="29" t="s">
        <v>14</v>
      </c>
      <c r="C142" s="29" t="s">
        <v>98</v>
      </c>
      <c r="D142" s="29" t="s">
        <v>99</v>
      </c>
      <c r="E142" s="29" t="s">
        <v>21</v>
      </c>
      <c r="F142" s="29">
        <v>2205</v>
      </c>
      <c r="G142" s="29">
        <v>0.17</v>
      </c>
      <c r="H142" s="29">
        <v>374.85</v>
      </c>
      <c r="I142" s="36">
        <v>2079</v>
      </c>
      <c r="J142" s="30">
        <f t="shared" si="5"/>
        <v>353.43</v>
      </c>
      <c r="K142" s="31">
        <f t="shared" si="6"/>
        <v>21.42</v>
      </c>
      <c r="M142" s="37"/>
      <c r="N142" s="37"/>
    </row>
    <row r="143" s="5" customFormat="1" ht="15" customHeight="1" spans="1:14">
      <c r="A143" s="28">
        <v>45989.902558</v>
      </c>
      <c r="B143" s="29" t="s">
        <v>14</v>
      </c>
      <c r="C143" s="29" t="s">
        <v>98</v>
      </c>
      <c r="D143" s="29" t="s">
        <v>99</v>
      </c>
      <c r="E143" s="29" t="s">
        <v>97</v>
      </c>
      <c r="F143" s="29">
        <v>2205</v>
      </c>
      <c r="G143" s="29">
        <v>0.09</v>
      </c>
      <c r="H143" s="29">
        <v>198.45</v>
      </c>
      <c r="I143" s="36">
        <v>2079</v>
      </c>
      <c r="J143" s="30">
        <f t="shared" si="5"/>
        <v>187.11</v>
      </c>
      <c r="K143" s="31">
        <f t="shared" si="6"/>
        <v>11.34</v>
      </c>
      <c r="M143" s="37"/>
      <c r="N143" s="37"/>
    </row>
    <row r="144" s="5" customFormat="1" ht="15" customHeight="1" spans="1:14">
      <c r="A144" s="28">
        <v>45989.902558</v>
      </c>
      <c r="B144" s="29" t="s">
        <v>14</v>
      </c>
      <c r="C144" s="29" t="s">
        <v>98</v>
      </c>
      <c r="D144" s="29" t="s">
        <v>99</v>
      </c>
      <c r="E144" s="29" t="s">
        <v>18</v>
      </c>
      <c r="F144" s="29">
        <v>2205</v>
      </c>
      <c r="G144" s="29">
        <v>0.1</v>
      </c>
      <c r="H144" s="29">
        <v>220.5</v>
      </c>
      <c r="I144" s="36">
        <v>2079</v>
      </c>
      <c r="J144" s="30">
        <f t="shared" si="5"/>
        <v>207.9</v>
      </c>
      <c r="K144" s="31">
        <f t="shared" si="6"/>
        <v>12.6</v>
      </c>
      <c r="M144" s="37"/>
      <c r="N144" s="37"/>
    </row>
    <row r="145" s="5" customFormat="1" ht="15" customHeight="1" spans="1:14">
      <c r="A145" s="28">
        <v>45995.733565</v>
      </c>
      <c r="B145" s="29" t="s">
        <v>14</v>
      </c>
      <c r="C145" s="29" t="s">
        <v>100</v>
      </c>
      <c r="D145" s="29" t="s">
        <v>86</v>
      </c>
      <c r="E145" s="29" t="s">
        <v>31</v>
      </c>
      <c r="F145" s="29">
        <v>124</v>
      </c>
      <c r="G145" s="29">
        <v>0.35</v>
      </c>
      <c r="H145" s="29">
        <v>43.4</v>
      </c>
      <c r="I145" s="36">
        <v>124</v>
      </c>
      <c r="J145" s="30">
        <f t="shared" si="5"/>
        <v>43.4</v>
      </c>
      <c r="K145" s="31">
        <f t="shared" si="6"/>
        <v>0</v>
      </c>
      <c r="M145" s="37"/>
      <c r="N145" s="37"/>
    </row>
    <row r="146" s="5" customFormat="1" ht="15" customHeight="1" spans="1:14">
      <c r="A146" s="28">
        <v>45995.733565</v>
      </c>
      <c r="B146" s="29" t="s">
        <v>14</v>
      </c>
      <c r="C146" s="29" t="s">
        <v>100</v>
      </c>
      <c r="D146" s="29" t="s">
        <v>88</v>
      </c>
      <c r="E146" s="29" t="s">
        <v>31</v>
      </c>
      <c r="F146" s="29">
        <v>57</v>
      </c>
      <c r="G146" s="29">
        <v>0.35</v>
      </c>
      <c r="H146" s="29">
        <v>19.95</v>
      </c>
      <c r="I146" s="36">
        <v>57</v>
      </c>
      <c r="J146" s="30">
        <f t="shared" si="5"/>
        <v>19.95</v>
      </c>
      <c r="K146" s="31">
        <f t="shared" si="6"/>
        <v>0</v>
      </c>
      <c r="M146" s="37"/>
      <c r="N146" s="37"/>
    </row>
    <row r="149" spans="1:14">
      <c r="D149" s="39" t="s">
        <v>101</v>
      </c>
      <c r="E149" s="40"/>
      <c r="F149" s="40"/>
      <c r="G149" s="40"/>
    </row>
    <row r="150" spans="1:14">
      <c r="D150" s="40" t="s">
        <v>102</v>
      </c>
      <c r="E150" s="40" t="s">
        <v>103</v>
      </c>
      <c r="F150" s="40" t="s">
        <v>104</v>
      </c>
      <c r="G150" s="40" t="s">
        <v>11</v>
      </c>
    </row>
    <row r="151" spans="1:14">
      <c r="D151" s="40" t="s">
        <v>105</v>
      </c>
      <c r="E151" s="40">
        <v>50304</v>
      </c>
      <c r="F151" s="40" t="s">
        <v>106</v>
      </c>
      <c r="G151" s="40">
        <v>41859.03</v>
      </c>
      <c r="H151" t="s">
        <v>107</v>
      </c>
    </row>
  </sheetData>
  <autoFilter xmlns:etc="http://www.wps.cn/officeDocument/2017/etCustomData" ref="A3:J146" etc:filterBottomFollowUsedRange="0">
    <extLst/>
  </autoFilter>
  <mergeCells count="1">
    <mergeCell ref="G1:I1"/>
  </mergeCells>
  <pageMargins left="0.75" right="0.75" top="1" bottom="1" header="0.5" footer="0.5"/>
  <pageSetup paperSize="9" scale="72" fitToHeight="0" orientation="portrait"/>
  <headerFooter/>
  <rowBreaks count="1" manualBreakCount="1">
    <brk id="80" max="1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丰宇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2026-01-25T10:32:33Z</dcterms:created>
  <dcterms:modified xsi:type="dcterms:W3CDTF">2026-01-25T10:34:22Z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6D069E72F5F14BC8905397A2B9D5D95A_11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