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2024-5月-7月-已开票" sheetId="19" state="hidden" r:id="rId1"/>
    <sheet name="11月Adela-国内已部分开票" sheetId="30" state="hidden" r:id="rId2"/>
    <sheet name="12月Adela-国内 " sheetId="31" state="hidden" r:id="rId3"/>
    <sheet name="12月Adela-国内  (2)" sheetId="32" state="hidden" r:id="rId4"/>
    <sheet name="12月Adela-国内  3" sheetId="35" state="hidden" r:id="rId5"/>
    <sheet name="2026年1月Adela-人民币" sheetId="34" r:id="rId6"/>
    <sheet name="2026年1月Adela-孟加拉" sheetId="29" r:id="rId7"/>
    <sheet name="4月Emily" sheetId="27" state="hidden" r:id="rId8"/>
    <sheet name="4月Adela (2)" sheetId="28" state="hidden" r:id="rId9"/>
    <sheet name="12月miranda" sheetId="24" state="hidden" r:id="rId10"/>
    <sheet name="对账单" sheetId="26" state="hidden" r:id="rId11"/>
    <sheet name="4月已开票" sheetId="21" state="hidden" r:id="rId12"/>
  </sheets>
  <definedNames>
    <definedName name="_xlnm._FilterDatabase" localSheetId="0" hidden="1">'2024-5月-7月-已开票'!$A$2:$O$36</definedName>
    <definedName name="_xlnm._FilterDatabase" localSheetId="1" hidden="1">'11月Adela-国内已部分开票'!$A$1:$J$101</definedName>
    <definedName name="_xlnm._FilterDatabase" localSheetId="2" hidden="1">'12月Adela-国内 '!$A$1:$J$116</definedName>
    <definedName name="_xlnm._FilterDatabase" localSheetId="3" hidden="1">'12月Adela-国内  (2)'!$A$1:$J$116</definedName>
    <definedName name="_xlnm._FilterDatabase" localSheetId="4" hidden="1">'12月Adela-国内  3'!$A$1:$J$116</definedName>
    <definedName name="_xlnm._FilterDatabase" localSheetId="6" hidden="1">'2026年1月Adela-孟加拉'!$A$1:$J$37</definedName>
    <definedName name="_xlnm._FilterDatabase" localSheetId="7" hidden="1">'4月Emily'!$A$1:$J$20</definedName>
    <definedName name="_xlnm._FilterDatabase" localSheetId="8" hidden="1">'4月Adela (2)'!$A$1:$J$75</definedName>
    <definedName name="_xlnm._FilterDatabase" localSheetId="5" hidden="1">'2026年1月Adela-人民币'!$A$1:$J$79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<sst xmlns="http://schemas.openxmlformats.org/spreadsheetml/2006/main" count="1745" uniqueCount="380">
  <si>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</si>
  <si>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</si>
  <si>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</si>
  <si>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</si>
  <si>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</si>
  <si>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</si>
  <si>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</si>
  <si>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</si>
  <si>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</si>
  <si>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</si>
  <si>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</si>
  <si>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</si>
  <si>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</si>
  <si>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</si>
  <si>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</si>
  <si>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</si>
  <si>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</si>
  <si>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</si>
  <si>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</si>
  <si>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</si>
  <si>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</si>
  <si>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</si>
  <si>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</si>
  <si>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</si>
  <si>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</si>
  <si>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</si>
  <si>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</si>
  <si>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</si>
  <si>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</si>
  <si>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</si>
  <si>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</si>
  <si>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</si>
  <si>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</si>
  <si>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</si>
  <si>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</si>
  <si>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</si>
  <si>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</si>
  <si>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</si>
  <si>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</si>
  <si>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</si>
  <si>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</si>
  <si>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</si>
  <si>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</si>
  <si>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</si>
  <si>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</si>
  <si>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</si>
  <si>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</si>
  <si>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</si>
  <si>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</si>
  <si>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</si>
  <si>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</si>
  <si>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</si>
  <si>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</si>
  <si>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</si>
  <si>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</si>
  <si>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</si>
  <si>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</si>
  <si>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</si>
  <si>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</si>
  <si>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</si>
  <si>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</si>
  <si>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</si>
  <si>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</si>
  <si>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</si>
  <si>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</si>
  <si>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</si>
  <si>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</si>
  <si>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</si>
  <si>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</si>
  <si>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</si>
  <si>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</si>
  <si>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</si>
  <si>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</si>
  <si>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</si>
  <si>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</si>
  <si>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</si>
  <si>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</si>
  <si>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</si>
  <si>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</si>
  <si>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</si>
  <si>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</si>
  <si>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</si>
  <si>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</si>
  <si>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</si>
  <si>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</si>
  <si>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</si>
  <si>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</si>
  <si>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</si>
  <si>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</si>
  <si>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</si>
  <si>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</si>
  <si>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</si>
  <si>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</si>
  <si>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</si>
  <si>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</si>
  <si>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</si>
  <si>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</si>
  <si>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</si>
  <si>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</si>
  <si>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</si>
  <si>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</si>
  <si>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</si>
  <si>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</si>
  <si>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</si>
  <si>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</si>
  <si>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</si>
  <si>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</si>
  <si>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</si>
  <si>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</si>
  <si>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</si>
  <si>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</si>
  <si>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</si>
  <si>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</si>
  <si>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</si>
  <si>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</si>
  <si>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</si>
  <si>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</si>
  <si>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</si>
  <si>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</si>
  <si>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</si>
  <si>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</si>
  <si>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</si>
  <si>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</si>
  <si>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</si>
  <si>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</si>
  <si>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</si>
  <si>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</si>
  <si>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</si>
  <si>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</si>
  <si>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</si>
  <si>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</si>
  <si>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</si>
  <si>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</si>
  <si>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</si>
  <si>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</si>
  <si>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</si>
  <si>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</si>
  <si>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</si>
  <si>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</si>
  <si>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</si>
  <si>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</si>
  <si>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</si>
  <si>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</si>
  <si>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</si>
  <si>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</si>
  <si>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</si>
  <si>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</si>
  <si>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</si>
  <si>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</si>
  <si>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</si>
  <si>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</si>
  <si>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</si>
  <si>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</si>
  <si>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</si>
  <si>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</si>
  <si>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</si>
  <si>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</si>
  <si>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开票</t>
  </si>
  <si>
    <t>实际</t>
  </si>
  <si>
    <t>平衡项</t>
  </si>
  <si>
    <t>同德</t>
  </si>
  <si>
    <t>佰益进服装南京有限公司</t>
  </si>
  <si>
    <t>按客户要求开</t>
  </si>
  <si>
    <t>同德抬头</t>
  </si>
  <si>
    <t>吊绳数量</t>
  </si>
  <si>
    <t>佰益进抬头</t>
  </si>
  <si>
    <t>RBSKNJTD0109</t>
  </si>
  <si>
    <t>REPUBLIC 1114-046-403
China 男上装</t>
  </si>
  <si>
    <t>2025.11.22</t>
  </si>
  <si>
    <t>白色RFID织标WLBCRFI013-65*20mm</t>
  </si>
  <si>
    <t>白色RFID织标WLBCRFI013-65*20mm-免费损耗1%</t>
  </si>
  <si>
    <t>白色RFID织标WLBCRFI013-65*20mm-大货样</t>
  </si>
  <si>
    <t>2025.11.23</t>
  </si>
  <si>
    <t>白色挂耳LPBCGEN001-8*26mm</t>
  </si>
  <si>
    <t>2025.11.27</t>
  </si>
  <si>
    <t>白色缎带洗标CLBCGEN003*1页-60*25mm（第三页）</t>
  </si>
  <si>
    <t>2025.11.25</t>
  </si>
  <si>
    <t>RBSKNJTD0110</t>
  </si>
  <si>
    <t>BROOKLYN 1210-046-711
China 男下装</t>
  </si>
  <si>
    <t>白色RFID织标WLBCRFI011-85*20mm</t>
  </si>
  <si>
    <t>白色RFID织标WLBCRFI011-85*20mm-免费损耗1%</t>
  </si>
  <si>
    <t>白色RFID织标WLBCRFI011-85*20mm-大货样</t>
  </si>
  <si>
    <t>空白标BKKBXM24002（60*25mm）</t>
  </si>
  <si>
    <t>RBSKNJTD0111</t>
  </si>
  <si>
    <t>REPUBLIC 1476-545-403
China 女上装</t>
  </si>
  <si>
    <t>2025.12.13</t>
  </si>
  <si>
    <t>2025.12.12</t>
  </si>
  <si>
    <t>2025.12.15</t>
  </si>
  <si>
    <t>白色吊牌HPBCGEN011-60*95mm-RFID LOGO-新版</t>
  </si>
  <si>
    <t>41983
40929</t>
  </si>
  <si>
    <t>RBSKNJTD0112</t>
  </si>
  <si>
    <t>PRISA 0805-046-800
China 男裤子 翻单2</t>
  </si>
  <si>
    <t>2025.12.6</t>
  </si>
  <si>
    <t>2025.12.4</t>
  </si>
  <si>
    <t>2025.12.10</t>
  </si>
  <si>
    <t>41982
41984</t>
  </si>
  <si>
    <t>RBSKNJTD0114</t>
  </si>
  <si>
    <t>PRISA 0805-046-800
China 男裤子 翻单3</t>
  </si>
  <si>
    <t>2025.12.16</t>
  </si>
  <si>
    <t>2025.12.17</t>
  </si>
  <si>
    <t>RBSKNJTD0115</t>
  </si>
  <si>
    <t>BROOKLYN 1210-046-711
China 男下装 补单</t>
  </si>
  <si>
    <t>2025.12.21</t>
  </si>
  <si>
    <t>RBSKNJTD0117</t>
  </si>
  <si>
    <t>REPUBLIC 1114-046-403
China 男上装 补单</t>
  </si>
  <si>
    <t>RBSKNJTD0118</t>
  </si>
  <si>
    <t>REPUBLIC 1476-545-403
China 女上装 补单</t>
  </si>
  <si>
    <t>白色RFID织标WLBCRFI013-65*20mm（+1%）</t>
  </si>
  <si>
    <t>2025.12.14</t>
  </si>
  <si>
    <t>2025.12.18</t>
  </si>
  <si>
    <t>RBSKNJTD0119</t>
  </si>
  <si>
    <t>UNLOCK 1514-046-800
China 男上装</t>
  </si>
  <si>
    <t>2025.12.27</t>
  </si>
  <si>
    <t>2025.12.31</t>
  </si>
  <si>
    <t>订单金额</t>
  </si>
  <si>
    <t>主标</t>
  </si>
  <si>
    <t>千克</t>
  </si>
  <si>
    <t>洗唛</t>
  </si>
  <si>
    <t>吊牌</t>
  </si>
  <si>
    <t>南京同德服装有限公司</t>
  </si>
  <si>
    <t>吊绳</t>
  </si>
  <si>
    <t>个</t>
  </si>
  <si>
    <t>套</t>
  </si>
  <si>
    <t>主唛</t>
  </si>
  <si>
    <t>挂牌</t>
  </si>
  <si>
    <t>张</t>
  </si>
  <si>
    <t>1114-046</t>
  </si>
  <si>
    <t>白色挂耳标</t>
  </si>
  <si>
    <t>洗唛第三页</t>
  </si>
  <si>
    <t>1476-545</t>
  </si>
  <si>
    <t>空白标</t>
  </si>
  <si>
    <t>同德2026对 账 单-Recall</t>
  </si>
  <si>
    <t>RBSKNJTD0121</t>
  </si>
  <si>
    <t>UNLOCK 1514-046-800
China 男上装 补单</t>
  </si>
  <si>
    <t>2026.1.10</t>
  </si>
  <si>
    <t>2026.1.11</t>
  </si>
  <si>
    <t>2026.1.12</t>
  </si>
  <si>
    <t>0089-140多开</t>
  </si>
  <si>
    <t>11月多开</t>
  </si>
  <si>
    <t>备扣唛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</si>
  <si>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</si>
  <si>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</si>
  <si>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</si>
  <si>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</si>
  <si>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</si>
  <si>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</si>
  <si>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</si>
  <si>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</si>
  <si>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</si>
  <si>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</si>
  <si>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</si>
  <si>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</si>
  <si>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</si>
  <si>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</si>
  <si>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</si>
  <si>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</si>
  <si>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</si>
  <si>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</si>
  <si>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</si>
  <si>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</si>
  <si>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</si>
  <si>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</si>
  <si>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</si>
  <si>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</si>
  <si>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</si>
  <si>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</si>
  <si>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</si>
  <si>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</si>
  <si>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</si>
  <si>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</si>
  <si>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</si>
  <si>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</si>
  <si>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</si>
  <si>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</si>
  <si>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</si>
  <si>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</si>
  <si>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</si>
  <si>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</si>
  <si>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</si>
  <si>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</si>
  <si>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</si>
  <si>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</si>
  <si>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</si>
  <si>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</si>
  <si>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</si>
  <si>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</si>
  <si>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</si>
  <si>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</si>
  <si>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</si>
  <si>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</si>
  <si>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</si>
  <si>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</si>
  <si>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</si>
  <si>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</si>
  <si>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</si>
  <si>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</si>
  <si>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</si>
  <si>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</si>
  <si>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</si>
  <si>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</si>
  <si>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RBSKNJTD0108</t>
  </si>
  <si>
    <t>NIGHTMARE 0089-140
BANGLADESH 男外套 补单</t>
  </si>
  <si>
    <t>纸板-33*52cm-300gBKZC25007</t>
  </si>
  <si>
    <t>纸板-33*52cm-300gBKZC25007-5%损耗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</si>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</sst>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9" fontId="17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8" fontId="15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9" fontId="17" fillId="0" borderId="0" xfId="0" applyNumberFormat="1" applyFont="1" applyFill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5" borderId="10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5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5" borderId="5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3" borderId="3" xfId="0" applyNumberFormat="1" applyFont="1" applyFill="1" applyBorder="1" applyAlignment="1">
      <alignment horizontal="center" vertical="center" wrapText="1"/>
    </xf>
    <xf numFmtId="8" fontId="15" fillId="3" borderId="5" xfId="0" applyNumberFormat="1" applyFont="1" applyFill="1" applyBorder="1" applyAlignment="1">
      <alignment horizontal="center" vertical="center" wrapText="1"/>
    </xf>
    <xf numFmtId="8" fontId="15" fillId="6" borderId="3" xfId="0" applyNumberFormat="1" applyFont="1" applyFill="1" applyBorder="1" applyAlignment="1">
      <alignment horizontal="center" vertical="center" wrapText="1"/>
    </xf>
    <xf numFmtId="8" fontId="15" fillId="6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8" fontId="15" fillId="6" borderId="10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51">
        <v>45439</v>
      </c>
      <c r="B3" s="15" t="s">
        <v>15</v>
      </c>
      <c r="C3" s="152">
        <v>54401</v>
      </c>
      <c r="D3" s="153" t="s">
        <v>16</v>
      </c>
      <c r="E3" s="152" t="s">
        <v>17</v>
      </c>
      <c r="F3" s="152" t="s">
        <v>18</v>
      </c>
      <c r="G3" s="154">
        <v>10500</v>
      </c>
      <c r="H3" s="154">
        <f t="shared" ref="H3:H32" si="0">G3-I3</f>
        <v>500</v>
      </c>
      <c r="I3" s="152">
        <v>10000</v>
      </c>
      <c r="J3" s="20">
        <v>0.368</v>
      </c>
      <c r="K3" s="155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51"/>
      <c r="B4" s="15"/>
      <c r="C4" s="152"/>
      <c r="D4" s="153"/>
      <c r="E4" s="152"/>
      <c r="F4" s="156">
        <v>45476</v>
      </c>
      <c r="G4" s="154">
        <v>11582</v>
      </c>
      <c r="H4" s="154">
        <f t="shared" si="0"/>
        <v>554</v>
      </c>
      <c r="I4" s="152">
        <v>11028</v>
      </c>
      <c r="J4" s="20">
        <v>0.368</v>
      </c>
      <c r="K4" s="155">
        <f t="shared" si="1"/>
        <v>4058.304</v>
      </c>
      <c r="L4" s="157"/>
      <c r="M4" s="20"/>
      <c r="N4" s="20"/>
      <c r="O4" s="20"/>
    </row>
    <row r="5" ht="16.5" spans="1:15">
      <c r="A5" s="151"/>
      <c r="B5" s="15"/>
      <c r="C5" s="152"/>
      <c r="D5" s="153"/>
      <c r="E5" s="152"/>
      <c r="F5" s="152" t="s">
        <v>18</v>
      </c>
      <c r="G5" s="154">
        <v>10500</v>
      </c>
      <c r="H5" s="154">
        <f t="shared" si="0"/>
        <v>500</v>
      </c>
      <c r="I5" s="152">
        <v>10000</v>
      </c>
      <c r="J5" s="15">
        <f>0.042*8</f>
        <v>0.336</v>
      </c>
      <c r="K5" s="155">
        <f t="shared" si="1"/>
        <v>3360</v>
      </c>
      <c r="L5" s="155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51"/>
      <c r="B6" s="15"/>
      <c r="C6" s="152"/>
      <c r="D6" s="153"/>
      <c r="E6" s="152"/>
      <c r="F6" s="156">
        <v>45476</v>
      </c>
      <c r="G6" s="154">
        <v>11583</v>
      </c>
      <c r="H6" s="154">
        <f t="shared" si="0"/>
        <v>555</v>
      </c>
      <c r="I6" s="152">
        <v>11028</v>
      </c>
      <c r="J6" s="15">
        <f>0.042*8</f>
        <v>0.336</v>
      </c>
      <c r="K6" s="155">
        <f t="shared" si="1"/>
        <v>3705.408</v>
      </c>
      <c r="L6" s="158"/>
      <c r="M6" s="20"/>
      <c r="N6" s="20"/>
      <c r="O6" s="20"/>
    </row>
    <row r="7" ht="16" customHeight="1" spans="1:15">
      <c r="A7" s="151"/>
      <c r="B7" s="15"/>
      <c r="C7" s="152"/>
      <c r="D7" s="153"/>
      <c r="E7" s="152"/>
      <c r="F7" s="156">
        <v>45476</v>
      </c>
      <c r="G7" s="154">
        <v>22079.4</v>
      </c>
      <c r="H7" s="154">
        <f t="shared" si="0"/>
        <v>1051.4</v>
      </c>
      <c r="I7" s="152">
        <v>21028</v>
      </c>
      <c r="J7" s="20">
        <v>0.294</v>
      </c>
      <c r="K7" s="155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51"/>
      <c r="B8" s="15"/>
      <c r="C8" s="152"/>
      <c r="D8" s="153"/>
      <c r="E8" s="152"/>
      <c r="F8" s="156">
        <v>45476</v>
      </c>
      <c r="G8" s="154">
        <v>22079.4</v>
      </c>
      <c r="H8" s="154">
        <f t="shared" si="0"/>
        <v>1051.4</v>
      </c>
      <c r="I8" s="152">
        <v>21028</v>
      </c>
      <c r="J8" s="20">
        <v>0.116</v>
      </c>
      <c r="K8" s="155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51">
        <v>45439</v>
      </c>
      <c r="B9" s="15" t="s">
        <v>15</v>
      </c>
      <c r="C9" s="152">
        <v>54404</v>
      </c>
      <c r="D9" s="153" t="s">
        <v>23</v>
      </c>
      <c r="E9" s="152" t="s">
        <v>24</v>
      </c>
      <c r="F9" s="156">
        <v>45470</v>
      </c>
      <c r="G9" s="154">
        <f>I9*1.05</f>
        <v>31500</v>
      </c>
      <c r="H9" s="154">
        <f t="shared" si="0"/>
        <v>1500</v>
      </c>
      <c r="I9" s="152">
        <v>30000</v>
      </c>
      <c r="J9" s="20">
        <v>0.368</v>
      </c>
      <c r="K9" s="155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51"/>
      <c r="B10" s="15"/>
      <c r="C10" s="152"/>
      <c r="D10" s="153"/>
      <c r="E10" s="152"/>
      <c r="F10" s="156">
        <v>45476</v>
      </c>
      <c r="G10" s="154">
        <v>1605</v>
      </c>
      <c r="H10" s="154">
        <f t="shared" si="0"/>
        <v>79</v>
      </c>
      <c r="I10" s="152">
        <v>1526</v>
      </c>
      <c r="J10" s="20">
        <v>0.368</v>
      </c>
      <c r="K10" s="155">
        <f t="shared" si="1"/>
        <v>561.568</v>
      </c>
      <c r="L10" s="157"/>
      <c r="M10" s="20"/>
      <c r="N10" s="15"/>
      <c r="O10" s="20"/>
    </row>
    <row r="11" ht="16.5" spans="1:15">
      <c r="A11" s="151"/>
      <c r="B11" s="15"/>
      <c r="C11" s="152"/>
      <c r="D11" s="153"/>
      <c r="E11" s="152"/>
      <c r="F11" s="156">
        <v>45470</v>
      </c>
      <c r="G11" s="154">
        <f>I11*1.05</f>
        <v>31500</v>
      </c>
      <c r="H11" s="154">
        <f t="shared" si="0"/>
        <v>1500</v>
      </c>
      <c r="I11" s="152">
        <v>30000</v>
      </c>
      <c r="J11" s="15">
        <f>0.042*6</f>
        <v>0.252</v>
      </c>
      <c r="K11" s="155">
        <f t="shared" si="1"/>
        <v>7560</v>
      </c>
      <c r="L11" s="155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51"/>
      <c r="B12" s="15"/>
      <c r="C12" s="152"/>
      <c r="D12" s="153"/>
      <c r="E12" s="152"/>
      <c r="F12" s="156">
        <v>45476</v>
      </c>
      <c r="G12" s="154">
        <v>1607</v>
      </c>
      <c r="H12" s="154">
        <f t="shared" si="0"/>
        <v>81</v>
      </c>
      <c r="I12" s="152">
        <v>1526</v>
      </c>
      <c r="J12" s="15">
        <f>0.042*6</f>
        <v>0.252</v>
      </c>
      <c r="K12" s="155">
        <f t="shared" si="1"/>
        <v>384.552</v>
      </c>
      <c r="L12" s="158"/>
      <c r="M12" s="20"/>
      <c r="N12" s="20"/>
      <c r="O12" s="20"/>
    </row>
    <row r="13" ht="16" customHeight="1" spans="1:15">
      <c r="A13" s="151"/>
      <c r="B13" s="15"/>
      <c r="C13" s="152"/>
      <c r="D13" s="153"/>
      <c r="E13" s="152"/>
      <c r="F13" s="156">
        <v>45476</v>
      </c>
      <c r="G13" s="154">
        <v>33102</v>
      </c>
      <c r="H13" s="154">
        <f t="shared" si="0"/>
        <v>1576</v>
      </c>
      <c r="I13" s="152">
        <v>31526</v>
      </c>
      <c r="J13" s="20">
        <v>0.294</v>
      </c>
      <c r="K13" s="155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51"/>
      <c r="B14" s="15"/>
      <c r="C14" s="152"/>
      <c r="D14" s="153"/>
      <c r="E14" s="152"/>
      <c r="F14" s="156">
        <v>45476</v>
      </c>
      <c r="G14" s="154">
        <v>33102</v>
      </c>
      <c r="H14" s="154">
        <f t="shared" si="0"/>
        <v>1576</v>
      </c>
      <c r="I14" s="152">
        <v>31526</v>
      </c>
      <c r="J14" s="20">
        <v>0.116</v>
      </c>
      <c r="K14" s="155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51">
        <v>45477</v>
      </c>
      <c r="B15" s="15" t="s">
        <v>26</v>
      </c>
      <c r="C15" s="152">
        <v>58394</v>
      </c>
      <c r="D15" s="153" t="s">
        <v>27</v>
      </c>
      <c r="E15" s="152" t="s">
        <v>28</v>
      </c>
      <c r="F15" s="156">
        <v>45484</v>
      </c>
      <c r="G15" s="154">
        <f>I15*1.05</f>
        <v>771.75</v>
      </c>
      <c r="H15" s="154">
        <f t="shared" si="0"/>
        <v>36.75</v>
      </c>
      <c r="I15" s="152">
        <v>735</v>
      </c>
      <c r="J15" s="20">
        <v>0.254</v>
      </c>
      <c r="K15" s="155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51"/>
      <c r="B16" s="15"/>
      <c r="C16" s="152"/>
      <c r="D16" s="153"/>
      <c r="E16" s="152"/>
      <c r="F16" s="156">
        <v>45484</v>
      </c>
      <c r="G16" s="154">
        <f>I16*1.05</f>
        <v>771.75</v>
      </c>
      <c r="H16" s="154">
        <f t="shared" si="0"/>
        <v>36.75</v>
      </c>
      <c r="I16" s="152">
        <v>735</v>
      </c>
      <c r="J16" s="20">
        <v>0.15</v>
      </c>
      <c r="K16" s="155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51"/>
      <c r="B17" s="15"/>
      <c r="C17" s="152"/>
      <c r="D17" s="153"/>
      <c r="E17" s="152"/>
      <c r="F17" s="156">
        <v>45484</v>
      </c>
      <c r="G17" s="154">
        <v>2200</v>
      </c>
      <c r="H17" s="154">
        <f t="shared" si="0"/>
        <v>100</v>
      </c>
      <c r="I17" s="152">
        <v>2100</v>
      </c>
      <c r="J17" s="20">
        <v>0.12</v>
      </c>
      <c r="K17" s="155">
        <f t="shared" si="1"/>
        <v>252</v>
      </c>
      <c r="L17" s="155" t="s">
        <v>31</v>
      </c>
      <c r="M17" s="20"/>
      <c r="N17" s="20"/>
      <c r="O17" s="20"/>
    </row>
    <row r="18" ht="32" customHeight="1" spans="1:15">
      <c r="A18" s="151"/>
      <c r="B18" s="15"/>
      <c r="C18" s="152"/>
      <c r="D18" s="153"/>
      <c r="E18" s="152"/>
      <c r="F18" s="156">
        <v>45485</v>
      </c>
      <c r="G18" s="154">
        <v>30500</v>
      </c>
      <c r="H18" s="154">
        <f t="shared" si="0"/>
        <v>8</v>
      </c>
      <c r="I18" s="152">
        <v>30492</v>
      </c>
      <c r="J18" s="20">
        <v>0.12</v>
      </c>
      <c r="K18" s="155">
        <f t="shared" si="1"/>
        <v>3659.04</v>
      </c>
      <c r="L18" s="158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59">
        <v>45484</v>
      </c>
      <c r="G19" s="154">
        <v>561</v>
      </c>
      <c r="H19" s="154">
        <f t="shared" si="0"/>
        <v>26</v>
      </c>
      <c r="I19" s="13">
        <v>535</v>
      </c>
      <c r="J19" s="20">
        <v>0.254</v>
      </c>
      <c r="K19" s="155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59">
        <v>45484</v>
      </c>
      <c r="G20" s="154">
        <v>561</v>
      </c>
      <c r="H20" s="154">
        <f t="shared" si="0"/>
        <v>26</v>
      </c>
      <c r="I20" s="13">
        <v>535</v>
      </c>
      <c r="J20" s="20">
        <v>0.15</v>
      </c>
      <c r="K20" s="155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51">
        <v>45483</v>
      </c>
      <c r="B21" s="15" t="s">
        <v>26</v>
      </c>
      <c r="C21" s="152" t="s">
        <v>34</v>
      </c>
      <c r="D21" s="153" t="s">
        <v>35</v>
      </c>
      <c r="E21" s="152" t="s">
        <v>36</v>
      </c>
      <c r="F21" s="156">
        <v>45491</v>
      </c>
      <c r="G21" s="154">
        <f t="shared" ref="G21:G32" si="2">I21*1.05</f>
        <v>25213.65</v>
      </c>
      <c r="H21" s="154">
        <f t="shared" si="0"/>
        <v>1200.65</v>
      </c>
      <c r="I21" s="13">
        <v>24013</v>
      </c>
      <c r="J21" s="20">
        <v>0.368</v>
      </c>
      <c r="K21" s="155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51"/>
      <c r="B22" s="15"/>
      <c r="C22" s="152"/>
      <c r="D22" s="153"/>
      <c r="E22" s="152"/>
      <c r="F22" s="156">
        <v>45491</v>
      </c>
      <c r="G22" s="154">
        <f t="shared" si="2"/>
        <v>25213.65</v>
      </c>
      <c r="H22" s="154">
        <f t="shared" si="0"/>
        <v>1200.65</v>
      </c>
      <c r="I22" s="13">
        <v>24013</v>
      </c>
      <c r="J22" s="15">
        <f>0.042*7</f>
        <v>0.294</v>
      </c>
      <c r="K22" s="155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51"/>
      <c r="B23" s="15"/>
      <c r="C23" s="152"/>
      <c r="D23" s="153"/>
      <c r="E23" s="152"/>
      <c r="F23" s="156">
        <v>45491</v>
      </c>
      <c r="G23" s="154">
        <f t="shared" si="2"/>
        <v>25213.65</v>
      </c>
      <c r="H23" s="154">
        <f t="shared" si="0"/>
        <v>1200.65</v>
      </c>
      <c r="I23" s="13">
        <v>24013</v>
      </c>
      <c r="J23" s="20">
        <v>0.294</v>
      </c>
      <c r="K23" s="155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51"/>
      <c r="B24" s="15"/>
      <c r="C24" s="152"/>
      <c r="D24" s="153"/>
      <c r="E24" s="152"/>
      <c r="F24" s="156">
        <v>45491</v>
      </c>
      <c r="G24" s="154">
        <f t="shared" si="2"/>
        <v>25213.65</v>
      </c>
      <c r="H24" s="154">
        <f t="shared" si="0"/>
        <v>1200.65</v>
      </c>
      <c r="I24" s="13">
        <v>24013</v>
      </c>
      <c r="J24" s="20">
        <v>0.116</v>
      </c>
      <c r="K24" s="155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51">
        <v>45492</v>
      </c>
      <c r="B25" s="15" t="s">
        <v>39</v>
      </c>
      <c r="C25" s="152" t="s">
        <v>40</v>
      </c>
      <c r="D25" s="153" t="s">
        <v>41</v>
      </c>
      <c r="E25" s="152" t="s">
        <v>42</v>
      </c>
      <c r="F25" s="156">
        <v>45503</v>
      </c>
      <c r="G25" s="154">
        <f t="shared" si="2"/>
        <v>10500</v>
      </c>
      <c r="H25" s="154">
        <f t="shared" si="0"/>
        <v>500</v>
      </c>
      <c r="I25" s="13">
        <v>10000</v>
      </c>
      <c r="J25" s="20">
        <v>0.368</v>
      </c>
      <c r="K25" s="155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51"/>
      <c r="B26" s="15"/>
      <c r="C26" s="152"/>
      <c r="D26" s="153"/>
      <c r="E26" s="152"/>
      <c r="F26" s="156">
        <v>45503</v>
      </c>
      <c r="G26" s="154">
        <f t="shared" si="2"/>
        <v>10500</v>
      </c>
      <c r="H26" s="154">
        <f t="shared" si="0"/>
        <v>500</v>
      </c>
      <c r="I26" s="13">
        <v>10000</v>
      </c>
      <c r="J26" s="15">
        <f>0.042*7</f>
        <v>0.294</v>
      </c>
      <c r="K26" s="155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51"/>
      <c r="B27" s="15"/>
      <c r="C27" s="152"/>
      <c r="D27" s="153"/>
      <c r="E27" s="152"/>
      <c r="F27" s="156">
        <v>45503</v>
      </c>
      <c r="G27" s="154">
        <f t="shared" si="2"/>
        <v>10500</v>
      </c>
      <c r="H27" s="154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51"/>
      <c r="B28" s="15"/>
      <c r="C28" s="152"/>
      <c r="D28" s="153"/>
      <c r="E28" s="152"/>
      <c r="F28" s="156">
        <v>45503</v>
      </c>
      <c r="G28" s="154">
        <f t="shared" si="2"/>
        <v>10500</v>
      </c>
      <c r="H28" s="154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51">
        <v>45499</v>
      </c>
      <c r="B29" s="15" t="s">
        <v>39</v>
      </c>
      <c r="C29" s="152" t="s">
        <v>43</v>
      </c>
      <c r="D29" s="153" t="s">
        <v>44</v>
      </c>
      <c r="E29" s="152" t="s">
        <v>45</v>
      </c>
      <c r="F29" s="156">
        <v>45503</v>
      </c>
      <c r="G29" s="154">
        <f t="shared" si="2"/>
        <v>9765</v>
      </c>
      <c r="H29" s="154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51"/>
      <c r="B30" s="15"/>
      <c r="C30" s="152"/>
      <c r="D30" s="153"/>
      <c r="E30" s="152"/>
      <c r="F30" s="156">
        <v>45503</v>
      </c>
      <c r="G30" s="154">
        <f t="shared" si="2"/>
        <v>9765</v>
      </c>
      <c r="H30" s="154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51"/>
      <c r="B31" s="15"/>
      <c r="C31" s="152"/>
      <c r="D31" s="153"/>
      <c r="E31" s="152"/>
      <c r="F31" s="156">
        <v>45506</v>
      </c>
      <c r="G31" s="154">
        <f t="shared" si="2"/>
        <v>9765</v>
      </c>
      <c r="H31" s="154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51"/>
      <c r="B32" s="15"/>
      <c r="C32" s="152"/>
      <c r="D32" s="153"/>
      <c r="E32" s="152"/>
      <c r="F32" s="156">
        <v>45506</v>
      </c>
      <c r="G32" s="154">
        <f t="shared" si="2"/>
        <v>9765</v>
      </c>
      <c r="H32" s="154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60">
        <v>45439</v>
      </c>
      <c r="B33" s="161" t="s">
        <v>15</v>
      </c>
      <c r="C33" s="162">
        <v>54401</v>
      </c>
      <c r="D33" s="163" t="s">
        <v>16</v>
      </c>
      <c r="E33" s="162" t="s">
        <v>17</v>
      </c>
      <c r="F33" s="152" t="s">
        <v>46</v>
      </c>
      <c r="G33" s="13">
        <v>0</v>
      </c>
      <c r="H33" s="13">
        <v>0</v>
      </c>
      <c r="I33" s="13">
        <v>10000</v>
      </c>
      <c r="J33" s="15">
        <v>0.042</v>
      </c>
      <c r="K33" s="155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60">
        <v>45439</v>
      </c>
      <c r="B34" s="161" t="s">
        <v>15</v>
      </c>
      <c r="C34" s="162">
        <v>54404</v>
      </c>
      <c r="D34" s="163" t="s">
        <v>23</v>
      </c>
      <c r="E34" s="162" t="s">
        <v>24</v>
      </c>
      <c r="F34" s="152" t="s">
        <v>46</v>
      </c>
      <c r="G34" s="13">
        <v>0</v>
      </c>
      <c r="H34" s="13">
        <v>0</v>
      </c>
      <c r="I34" s="13">
        <v>30000</v>
      </c>
      <c r="J34" s="15">
        <v>0.042</v>
      </c>
      <c r="K34" s="155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51">
        <v>45477</v>
      </c>
      <c r="B35" s="15" t="s">
        <v>26</v>
      </c>
      <c r="C35" s="152">
        <v>58401</v>
      </c>
      <c r="D35" s="153" t="s">
        <v>32</v>
      </c>
      <c r="E35" s="152" t="s">
        <v>33</v>
      </c>
      <c r="F35" s="156">
        <v>45484</v>
      </c>
      <c r="G35" s="154">
        <v>32552</v>
      </c>
      <c r="H35" s="154">
        <f>G35-I35</f>
        <v>1550</v>
      </c>
      <c r="I35" s="13">
        <v>31002</v>
      </c>
      <c r="J35" s="20">
        <v>0.1</v>
      </c>
      <c r="K35" s="155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357</v>
      </c>
      <c r="C3" s="29">
        <v>17476</v>
      </c>
      <c r="D3" s="45" t="s">
        <v>358</v>
      </c>
      <c r="E3" s="46" t="s">
        <v>359</v>
      </c>
      <c r="F3" s="47" t="s">
        <v>360</v>
      </c>
      <c r="G3" s="35" t="s">
        <v>361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144</v>
      </c>
      <c r="B8" s="50" t="s">
        <v>145</v>
      </c>
      <c r="C8" s="50" t="s">
        <v>146</v>
      </c>
      <c r="D8" s="50" t="s">
        <v>147</v>
      </c>
      <c r="E8" s="50" t="s">
        <v>148</v>
      </c>
      <c r="F8" s="51" t="s">
        <v>149</v>
      </c>
      <c r="G8" s="50" t="s">
        <v>150</v>
      </c>
      <c r="H8" s="50" t="s">
        <v>151</v>
      </c>
      <c r="I8" s="50" t="s">
        <v>152</v>
      </c>
      <c r="J8" s="50" t="s">
        <v>153</v>
      </c>
    </row>
    <row r="9" ht="28.5" spans="1:11">
      <c r="A9" s="50"/>
      <c r="B9" s="50"/>
      <c r="C9" s="50"/>
      <c r="D9" s="50" t="s">
        <v>154</v>
      </c>
      <c r="E9" s="50"/>
      <c r="F9" s="51" t="s">
        <v>155</v>
      </c>
      <c r="G9" s="50"/>
      <c r="H9" s="50"/>
      <c r="I9" s="52" t="s">
        <v>156</v>
      </c>
      <c r="J9" s="50"/>
    </row>
    <row r="10" ht="28" spans="1:11">
      <c r="A10" s="52">
        <v>1</v>
      </c>
      <c r="B10" s="53">
        <v>45747</v>
      </c>
      <c r="C10" s="50" t="s">
        <v>160</v>
      </c>
      <c r="D10" s="50" t="s">
        <v>161</v>
      </c>
      <c r="E10" s="50" t="s">
        <v>362</v>
      </c>
      <c r="F10" s="50" t="s">
        <v>363</v>
      </c>
      <c r="G10" s="50" t="s">
        <v>221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320</v>
      </c>
      <c r="D3" s="30" t="s">
        <v>321</v>
      </c>
      <c r="E3" s="29" t="s">
        <v>322</v>
      </c>
      <c r="F3" s="31" t="s">
        <v>323</v>
      </c>
      <c r="G3" s="32" t="s">
        <v>71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63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324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325</v>
      </c>
      <c r="G6" s="32" t="s">
        <v>79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325</v>
      </c>
      <c r="G7" s="32" t="s">
        <v>326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364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365</v>
      </c>
      <c r="B2" s="5" t="s">
        <v>366</v>
      </c>
      <c r="C2" s="5" t="s">
        <v>367</v>
      </c>
      <c r="D2" s="6" t="s">
        <v>4</v>
      </c>
      <c r="E2" s="5" t="s">
        <v>368</v>
      </c>
      <c r="F2" s="7" t="s">
        <v>369</v>
      </c>
      <c r="G2" s="8" t="s">
        <v>370</v>
      </c>
      <c r="H2" s="9" t="s">
        <v>371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372</v>
      </c>
      <c r="D3" s="14" t="s">
        <v>373</v>
      </c>
      <c r="E3" s="13" t="s">
        <v>374</v>
      </c>
      <c r="F3" s="15" t="s">
        <v>375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376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377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378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379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opLeftCell="A3" workbookViewId="0">
      <selection activeCell="J8" sqref="J8:J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1">
      <c r="A8" s="28">
        <v>45841</v>
      </c>
      <c r="B8" s="28" t="s">
        <v>39</v>
      </c>
      <c r="C8" s="28" t="s">
        <v>58</v>
      </c>
      <c r="D8" s="83" t="s">
        <v>59</v>
      </c>
      <c r="E8" s="28" t="s">
        <v>60</v>
      </c>
      <c r="F8" s="87" t="s">
        <v>61</v>
      </c>
      <c r="G8" s="34" t="s">
        <v>62</v>
      </c>
      <c r="H8" s="34">
        <v>5150</v>
      </c>
      <c r="I8" s="68">
        <v>1.07</v>
      </c>
      <c r="J8" s="144">
        <f t="shared" si="0"/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63</v>
      </c>
      <c r="H9" s="34">
        <v>52</v>
      </c>
      <c r="I9" s="68">
        <v>0</v>
      </c>
      <c r="J9" s="144">
        <f t="shared" si="0"/>
        <v>0</v>
      </c>
      <c r="K9" s="25"/>
    </row>
    <row r="10" ht="16.5" spans="1:11">
      <c r="A10" s="28"/>
      <c r="B10" s="28"/>
      <c r="C10" s="28"/>
      <c r="D10" s="83"/>
      <c r="E10" s="28"/>
      <c r="F10" s="87" t="s">
        <v>61</v>
      </c>
      <c r="G10" s="34" t="s">
        <v>64</v>
      </c>
      <c r="H10" s="34">
        <f>5000</f>
        <v>5000</v>
      </c>
      <c r="I10" s="34">
        <f>0.042*5</f>
        <v>0.21</v>
      </c>
      <c r="J10" s="144">
        <f t="shared" si="0"/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61</v>
      </c>
      <c r="G11" s="34" t="s">
        <v>65</v>
      </c>
      <c r="H11" s="34">
        <v>5000</v>
      </c>
      <c r="I11" s="34">
        <v>0.11</v>
      </c>
      <c r="J11" s="144">
        <f t="shared" si="0"/>
        <v>550</v>
      </c>
      <c r="K11" s="25"/>
    </row>
    <row r="12" ht="16.5" spans="1:11">
      <c r="A12" s="28">
        <v>45842</v>
      </c>
      <c r="B12" s="29" t="s">
        <v>39</v>
      </c>
      <c r="C12" s="29" t="s">
        <v>66</v>
      </c>
      <c r="D12" s="73" t="s">
        <v>67</v>
      </c>
      <c r="E12" s="29" t="s">
        <v>68</v>
      </c>
      <c r="F12" s="87" t="s">
        <v>61</v>
      </c>
      <c r="G12" s="35" t="s">
        <v>62</v>
      </c>
      <c r="H12" s="145">
        <v>18334</v>
      </c>
      <c r="I12" s="68">
        <v>1.07</v>
      </c>
      <c r="J12" s="144">
        <f t="shared" si="0"/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63</v>
      </c>
      <c r="H13" s="68">
        <v>183</v>
      </c>
      <c r="I13" s="68">
        <v>0</v>
      </c>
      <c r="J13" s="144">
        <f t="shared" si="0"/>
        <v>0</v>
      </c>
      <c r="K13" s="1"/>
    </row>
    <row r="14" ht="16.5" spans="1:11">
      <c r="A14" s="28"/>
      <c r="B14" s="29"/>
      <c r="C14" s="29"/>
      <c r="D14" s="73"/>
      <c r="E14" s="29"/>
      <c r="F14" s="87" t="s">
        <v>61</v>
      </c>
      <c r="G14" s="34" t="s">
        <v>22</v>
      </c>
      <c r="H14" s="34">
        <v>17800</v>
      </c>
      <c r="I14" s="34">
        <v>0.11</v>
      </c>
      <c r="J14" s="144">
        <f t="shared" si="0"/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64</v>
      </c>
      <c r="H15" s="34">
        <f>17800</f>
        <v>17800</v>
      </c>
      <c r="I15" s="34">
        <f>0.042*5</f>
        <v>0.21</v>
      </c>
      <c r="J15" s="144">
        <f t="shared" si="0"/>
        <v>3738</v>
      </c>
      <c r="K15" s="1"/>
    </row>
    <row r="16" ht="16.5" spans="1:11">
      <c r="A16" s="28">
        <v>45849</v>
      </c>
      <c r="B16" s="28" t="s">
        <v>39</v>
      </c>
      <c r="C16" s="96">
        <v>85358</v>
      </c>
      <c r="D16" s="83" t="s">
        <v>69</v>
      </c>
      <c r="E16" s="28" t="s">
        <v>70</v>
      </c>
      <c r="F16" s="28" t="s">
        <v>61</v>
      </c>
      <c r="G16" s="34" t="s">
        <v>71</v>
      </c>
      <c r="H16" s="34">
        <f>2000*1.03</f>
        <v>2060</v>
      </c>
      <c r="I16" s="101">
        <v>1.07</v>
      </c>
      <c r="J16" s="144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63</v>
      </c>
      <c r="H17" s="34">
        <f>2000*0.01</f>
        <v>20</v>
      </c>
      <c r="I17" s="101">
        <v>0</v>
      </c>
      <c r="J17" s="144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72</v>
      </c>
      <c r="G18" s="34" t="s">
        <v>64</v>
      </c>
      <c r="H18" s="34">
        <f>2000</f>
        <v>2000</v>
      </c>
      <c r="I18" s="85">
        <f>0.042*5</f>
        <v>0.21</v>
      </c>
      <c r="J18" s="144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65</v>
      </c>
      <c r="H19" s="34">
        <v>2000</v>
      </c>
      <c r="I19" s="85">
        <v>0.11</v>
      </c>
      <c r="J19" s="144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73</v>
      </c>
      <c r="E20" s="29" t="s">
        <v>74</v>
      </c>
      <c r="F20" s="28" t="s">
        <v>61</v>
      </c>
      <c r="G20" s="34" t="s">
        <v>62</v>
      </c>
      <c r="H20" s="34">
        <f>1000*1.03</f>
        <v>1030</v>
      </c>
      <c r="I20" s="85">
        <v>1.07</v>
      </c>
      <c r="J20" s="144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63</v>
      </c>
      <c r="H21" s="34">
        <f>1000*0.01</f>
        <v>10</v>
      </c>
      <c r="I21" s="85">
        <v>0</v>
      </c>
      <c r="J21" s="144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72</v>
      </c>
      <c r="G22" s="34" t="s">
        <v>64</v>
      </c>
      <c r="H22" s="34">
        <f>1000</f>
        <v>1000</v>
      </c>
      <c r="I22" s="85">
        <f>0.042*5</f>
        <v>0.21</v>
      </c>
      <c r="J22" s="144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65</v>
      </c>
      <c r="H23" s="34">
        <f>1000</f>
        <v>1000</v>
      </c>
      <c r="I23" s="85">
        <v>0.11</v>
      </c>
      <c r="J23" s="144">
        <f t="shared" si="0"/>
        <v>110</v>
      </c>
    </row>
    <row r="24" ht="16.5" spans="1:10">
      <c r="A24" s="28">
        <v>45866</v>
      </c>
      <c r="B24" s="96" t="s">
        <v>39</v>
      </c>
      <c r="C24" s="96" t="s">
        <v>75</v>
      </c>
      <c r="D24" s="97" t="s">
        <v>76</v>
      </c>
      <c r="E24" s="96" t="s">
        <v>77</v>
      </c>
      <c r="F24" s="87" t="s">
        <v>78</v>
      </c>
      <c r="G24" s="95" t="s">
        <v>79</v>
      </c>
      <c r="H24" s="101">
        <v>19026</v>
      </c>
      <c r="I24" s="101">
        <v>0.24</v>
      </c>
      <c r="J24" s="144">
        <f t="shared" si="0"/>
        <v>4566.24</v>
      </c>
    </row>
    <row r="25" ht="16.5" spans="1:10">
      <c r="A25" s="28"/>
      <c r="B25" s="96"/>
      <c r="C25" s="96"/>
      <c r="D25" s="97"/>
      <c r="E25" s="96"/>
      <c r="F25" s="88"/>
      <c r="G25" s="95" t="s">
        <v>65</v>
      </c>
      <c r="H25" s="101">
        <v>19026</v>
      </c>
      <c r="I25" s="101">
        <v>0.11</v>
      </c>
      <c r="J25" s="144">
        <f t="shared" si="0"/>
        <v>2092.86</v>
      </c>
    </row>
    <row r="26" ht="16.5" spans="1:10">
      <c r="A26" s="28"/>
      <c r="B26" s="96"/>
      <c r="C26" s="96"/>
      <c r="D26" s="97"/>
      <c r="E26" s="96"/>
      <c r="F26" s="28" t="s">
        <v>80</v>
      </c>
      <c r="G26" s="95" t="s">
        <v>81</v>
      </c>
      <c r="H26" s="146">
        <v>19597</v>
      </c>
      <c r="I26" s="95">
        <v>1.07</v>
      </c>
      <c r="J26" s="144">
        <f t="shared" si="0"/>
        <v>20968.79</v>
      </c>
    </row>
    <row r="27" ht="16.5" spans="1:10">
      <c r="A27" s="28"/>
      <c r="B27" s="96"/>
      <c r="C27" s="96"/>
      <c r="D27" s="97"/>
      <c r="E27" s="96"/>
      <c r="F27" s="28"/>
      <c r="G27" s="95" t="s">
        <v>82</v>
      </c>
      <c r="H27" s="95">
        <v>190</v>
      </c>
      <c r="I27" s="95">
        <v>0</v>
      </c>
      <c r="J27" s="144">
        <f t="shared" si="0"/>
        <v>0</v>
      </c>
    </row>
    <row r="28" ht="16.5" spans="1:10">
      <c r="A28" s="28"/>
      <c r="B28" s="96"/>
      <c r="C28" s="96"/>
      <c r="D28" s="97"/>
      <c r="E28" s="96"/>
      <c r="F28" s="28"/>
      <c r="G28" s="95" t="s">
        <v>83</v>
      </c>
      <c r="H28" s="95">
        <v>55</v>
      </c>
      <c r="I28" s="95">
        <v>0</v>
      </c>
      <c r="J28" s="144">
        <f t="shared" si="0"/>
        <v>0</v>
      </c>
    </row>
    <row r="29" ht="16.5" spans="1:10">
      <c r="A29" s="28"/>
      <c r="B29" s="96"/>
      <c r="C29" s="96"/>
      <c r="D29" s="97"/>
      <c r="E29" s="96"/>
      <c r="F29" s="28" t="s">
        <v>72</v>
      </c>
      <c r="G29" s="85" t="s">
        <v>64</v>
      </c>
      <c r="H29" s="85">
        <f>H25</f>
        <v>19026</v>
      </c>
      <c r="I29" s="85">
        <f>0.042*5</f>
        <v>0.21</v>
      </c>
      <c r="J29" s="144">
        <f t="shared" si="0"/>
        <v>3995.46</v>
      </c>
    </row>
    <row r="30" ht="16.5" spans="1:10">
      <c r="A30" s="28">
        <v>45867</v>
      </c>
      <c r="B30" s="96" t="s">
        <v>39</v>
      </c>
      <c r="C30" s="96" t="s">
        <v>84</v>
      </c>
      <c r="D30" s="97" t="s">
        <v>85</v>
      </c>
      <c r="E30" s="96" t="s">
        <v>86</v>
      </c>
      <c r="F30" s="87" t="s">
        <v>78</v>
      </c>
      <c r="G30" s="95" t="s">
        <v>62</v>
      </c>
      <c r="H30" s="85">
        <v>6490</v>
      </c>
      <c r="I30" s="85">
        <v>1.07</v>
      </c>
      <c r="J30" s="144">
        <f t="shared" si="0"/>
        <v>6944.3</v>
      </c>
    </row>
    <row r="31" ht="16.5" spans="1:10">
      <c r="A31" s="28"/>
      <c r="B31" s="96"/>
      <c r="C31" s="96"/>
      <c r="D31" s="97"/>
      <c r="E31" s="96"/>
      <c r="F31" s="88"/>
      <c r="G31" s="95" t="s">
        <v>63</v>
      </c>
      <c r="H31" s="85">
        <v>65</v>
      </c>
      <c r="I31" s="85">
        <v>0</v>
      </c>
      <c r="J31" s="144">
        <f t="shared" si="0"/>
        <v>0</v>
      </c>
    </row>
    <row r="32" ht="16.5" spans="1:10">
      <c r="A32" s="28"/>
      <c r="B32" s="96"/>
      <c r="C32" s="96"/>
      <c r="D32" s="97"/>
      <c r="E32" s="96"/>
      <c r="F32" s="88"/>
      <c r="G32" s="85" t="s">
        <v>22</v>
      </c>
      <c r="H32" s="85">
        <v>6300</v>
      </c>
      <c r="I32" s="85">
        <v>0.11</v>
      </c>
      <c r="J32" s="144">
        <f t="shared" si="0"/>
        <v>693</v>
      </c>
    </row>
    <row r="33" ht="16.5" spans="1:10">
      <c r="A33" s="28"/>
      <c r="B33" s="96"/>
      <c r="C33" s="96"/>
      <c r="D33" s="97"/>
      <c r="E33" s="96"/>
      <c r="F33" s="88"/>
      <c r="G33" s="85" t="s">
        <v>64</v>
      </c>
      <c r="H33" s="85">
        <f>6300</f>
        <v>6300</v>
      </c>
      <c r="I33" s="85">
        <f>0.042*5</f>
        <v>0.21</v>
      </c>
      <c r="J33" s="144">
        <f t="shared" si="0"/>
        <v>1323</v>
      </c>
    </row>
    <row r="34" ht="16.5" spans="1:10">
      <c r="A34" s="28"/>
      <c r="B34" s="96"/>
      <c r="C34" s="96"/>
      <c r="D34" s="97"/>
      <c r="E34" s="96"/>
      <c r="F34" s="88"/>
      <c r="G34" s="95" t="s">
        <v>79</v>
      </c>
      <c r="H34" s="85">
        <v>17000</v>
      </c>
      <c r="I34" s="85">
        <v>0.24</v>
      </c>
      <c r="J34" s="144">
        <f t="shared" si="0"/>
        <v>4080</v>
      </c>
    </row>
    <row r="35" ht="16.5" spans="1:10">
      <c r="A35" s="28"/>
      <c r="B35" s="96"/>
      <c r="C35" s="96"/>
      <c r="D35" s="97"/>
      <c r="E35" s="96"/>
      <c r="F35" s="88"/>
      <c r="G35" s="95" t="s">
        <v>71</v>
      </c>
      <c r="H35" s="85">
        <v>6489</v>
      </c>
      <c r="I35" s="85">
        <v>1.07</v>
      </c>
      <c r="J35" s="144">
        <f t="shared" si="0"/>
        <v>6943.23</v>
      </c>
    </row>
    <row r="36" ht="16.5" spans="1:10">
      <c r="A36" s="28"/>
      <c r="B36" s="96"/>
      <c r="C36" s="96"/>
      <c r="D36" s="97"/>
      <c r="E36" s="96"/>
      <c r="F36" s="88"/>
      <c r="G36" s="95" t="s">
        <v>63</v>
      </c>
      <c r="H36" s="85">
        <v>63</v>
      </c>
      <c r="I36" s="85">
        <v>0</v>
      </c>
      <c r="J36" s="144">
        <f t="shared" si="0"/>
        <v>0</v>
      </c>
    </row>
    <row r="37" ht="16.5" spans="1:10">
      <c r="A37" s="28"/>
      <c r="B37" s="96"/>
      <c r="C37" s="96"/>
      <c r="D37" s="97"/>
      <c r="E37" s="96"/>
      <c r="F37" s="88"/>
      <c r="G37" s="85" t="s">
        <v>22</v>
      </c>
      <c r="H37" s="85">
        <v>6300</v>
      </c>
      <c r="I37" s="85">
        <v>0.11</v>
      </c>
      <c r="J37" s="144">
        <f t="shared" si="0"/>
        <v>693</v>
      </c>
    </row>
    <row r="38" ht="16.5" spans="1:10">
      <c r="A38" s="28"/>
      <c r="B38" s="96"/>
      <c r="C38" s="96"/>
      <c r="D38" s="97"/>
      <c r="E38" s="96"/>
      <c r="F38" s="102"/>
      <c r="G38" s="85" t="s">
        <v>64</v>
      </c>
      <c r="H38" s="85">
        <f>6300</f>
        <v>6300</v>
      </c>
      <c r="I38" s="85">
        <f>0.042*5</f>
        <v>0.21</v>
      </c>
      <c r="J38" s="144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87</v>
      </c>
      <c r="E39" s="28" t="s">
        <v>88</v>
      </c>
      <c r="F39" s="87" t="s">
        <v>72</v>
      </c>
      <c r="G39" s="34" t="s">
        <v>71</v>
      </c>
      <c r="H39" s="34">
        <v>1062</v>
      </c>
      <c r="I39" s="101">
        <v>1.07</v>
      </c>
      <c r="J39" s="144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63</v>
      </c>
      <c r="H40" s="34">
        <v>11</v>
      </c>
      <c r="I40" s="101">
        <v>0</v>
      </c>
      <c r="J40" s="144">
        <f t="shared" si="0"/>
        <v>0</v>
      </c>
    </row>
    <row r="41" ht="16.5" spans="1:10">
      <c r="A41" s="28">
        <v>45870</v>
      </c>
      <c r="B41" s="28" t="s">
        <v>39</v>
      </c>
      <c r="C41" s="96">
        <v>86578</v>
      </c>
      <c r="D41" s="83" t="s">
        <v>89</v>
      </c>
      <c r="E41" s="28" t="s">
        <v>90</v>
      </c>
      <c r="F41" s="87" t="s">
        <v>78</v>
      </c>
      <c r="G41" s="34" t="s">
        <v>62</v>
      </c>
      <c r="H41" s="34">
        <v>3264</v>
      </c>
      <c r="I41" s="101">
        <v>1.07</v>
      </c>
      <c r="J41" s="144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63</v>
      </c>
      <c r="H42" s="34">
        <v>33</v>
      </c>
      <c r="I42" s="101">
        <v>0</v>
      </c>
      <c r="J42" s="144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91</v>
      </c>
      <c r="H43" s="34">
        <v>30</v>
      </c>
      <c r="I43" s="101">
        <v>0</v>
      </c>
      <c r="J43" s="144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44">
        <f t="shared" si="0"/>
        <v>330</v>
      </c>
    </row>
    <row r="45" ht="16.5" spans="1:10">
      <c r="A45" s="28"/>
      <c r="B45" s="28"/>
      <c r="C45" s="86"/>
      <c r="D45" s="83"/>
      <c r="E45" s="28"/>
      <c r="F45" s="102"/>
      <c r="G45" s="34" t="s">
        <v>64</v>
      </c>
      <c r="H45" s="34">
        <v>3000</v>
      </c>
      <c r="I45" s="85">
        <f>0.042*5</f>
        <v>0.21</v>
      </c>
      <c r="J45" s="144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92</v>
      </c>
      <c r="E46" s="29" t="s">
        <v>93</v>
      </c>
      <c r="F46" s="28" t="s">
        <v>94</v>
      </c>
      <c r="G46" s="35" t="s">
        <v>81</v>
      </c>
      <c r="H46" s="35">
        <v>6180</v>
      </c>
      <c r="I46" s="95">
        <v>1.07</v>
      </c>
      <c r="J46" s="144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82</v>
      </c>
      <c r="H47" s="35">
        <v>60</v>
      </c>
      <c r="I47" s="95">
        <v>0</v>
      </c>
      <c r="J47" s="144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83</v>
      </c>
      <c r="H48" s="35">
        <v>30</v>
      </c>
      <c r="I48" s="95">
        <v>0</v>
      </c>
      <c r="J48" s="144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64</v>
      </c>
      <c r="H49" s="34">
        <v>6000</v>
      </c>
      <c r="I49" s="85">
        <f>0.042*5</f>
        <v>0.21</v>
      </c>
      <c r="J49" s="144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65</v>
      </c>
      <c r="H50" s="34">
        <v>6000</v>
      </c>
      <c r="I50" s="85">
        <v>0.11</v>
      </c>
      <c r="J50" s="144">
        <f t="shared" si="0"/>
        <v>660</v>
      </c>
    </row>
    <row r="51" ht="16.5" spans="1:10">
      <c r="A51" s="28">
        <v>45889</v>
      </c>
      <c r="B51" s="28" t="s">
        <v>39</v>
      </c>
      <c r="C51" s="96" t="s">
        <v>95</v>
      </c>
      <c r="D51" s="83" t="s">
        <v>96</v>
      </c>
      <c r="E51" s="28" t="s">
        <v>97</v>
      </c>
      <c r="F51" s="87" t="s">
        <v>98</v>
      </c>
      <c r="G51" s="34" t="s">
        <v>99</v>
      </c>
      <c r="H51" s="34">
        <v>1235</v>
      </c>
      <c r="I51" s="101">
        <v>1.07</v>
      </c>
      <c r="J51" s="35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82</v>
      </c>
      <c r="H52" s="34">
        <v>12</v>
      </c>
      <c r="I52" s="101">
        <v>0</v>
      </c>
      <c r="J52" s="35">
        <f t="shared" si="0"/>
        <v>0</v>
      </c>
    </row>
    <row r="53" ht="16.5" spans="1:10">
      <c r="A53" s="28"/>
      <c r="B53" s="28"/>
      <c r="C53" s="86"/>
      <c r="D53" s="83"/>
      <c r="E53" s="28"/>
      <c r="F53" s="102"/>
      <c r="G53" s="34" t="s">
        <v>83</v>
      </c>
      <c r="H53" s="34">
        <f>5*10+5</f>
        <v>55</v>
      </c>
      <c r="I53" s="101">
        <v>0</v>
      </c>
      <c r="J53" s="35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100</v>
      </c>
      <c r="G54" s="34" t="s">
        <v>79</v>
      </c>
      <c r="H54" s="34">
        <f>1225+10</f>
        <v>1235</v>
      </c>
      <c r="I54" s="101">
        <v>0.24</v>
      </c>
      <c r="J54" s="35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101</v>
      </c>
      <c r="G56" s="34" t="s">
        <v>64</v>
      </c>
      <c r="H56" s="34">
        <f>1235</f>
        <v>1235</v>
      </c>
      <c r="I56" s="85">
        <f>0.042*5</f>
        <v>0.21</v>
      </c>
      <c r="J56" s="35">
        <f t="shared" si="0"/>
        <v>259.35</v>
      </c>
    </row>
    <row r="57" ht="16.5" spans="1:10">
      <c r="A57" s="28">
        <v>45919</v>
      </c>
      <c r="B57" s="29" t="s">
        <v>39</v>
      </c>
      <c r="C57" s="65" t="s">
        <v>102</v>
      </c>
      <c r="D57" s="73" t="s">
        <v>103</v>
      </c>
      <c r="E57" s="29" t="s">
        <v>104</v>
      </c>
      <c r="F57" s="92" t="s">
        <v>105</v>
      </c>
      <c r="G57" s="35" t="s">
        <v>99</v>
      </c>
      <c r="H57" s="35">
        <f>5000+2000+20</f>
        <v>7020</v>
      </c>
      <c r="I57" s="34">
        <v>1.07</v>
      </c>
      <c r="J57" s="35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82</v>
      </c>
      <c r="H58" s="35">
        <v>70</v>
      </c>
      <c r="I58" s="34">
        <v>0</v>
      </c>
      <c r="J58" s="35">
        <f t="shared" si="0"/>
        <v>0</v>
      </c>
    </row>
    <row r="59" ht="16.5" spans="1:10">
      <c r="A59" s="28"/>
      <c r="B59" s="29"/>
      <c r="C59" s="29"/>
      <c r="D59" s="73"/>
      <c r="E59" s="29"/>
      <c r="F59" s="103"/>
      <c r="G59" s="35" t="s">
        <v>83</v>
      </c>
      <c r="H59" s="35">
        <f>5*5*2+5</f>
        <v>55</v>
      </c>
      <c r="I59" s="34">
        <v>0</v>
      </c>
      <c r="J59" s="35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106</v>
      </c>
      <c r="G60" s="34" t="s">
        <v>107</v>
      </c>
      <c r="H60" s="35">
        <f>7020</f>
        <v>7020</v>
      </c>
      <c r="I60" s="34">
        <f>0.042*4</f>
        <v>0.168</v>
      </c>
      <c r="J60" s="35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108</v>
      </c>
      <c r="G61" s="35" t="s">
        <v>79</v>
      </c>
      <c r="H61" s="35">
        <v>7020</v>
      </c>
      <c r="I61" s="35">
        <v>0.24</v>
      </c>
      <c r="J61" s="35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 t="shared" si="0"/>
        <v>772.2</v>
      </c>
    </row>
    <row r="63" ht="16.5" spans="1:10">
      <c r="A63" s="28">
        <v>45919</v>
      </c>
      <c r="B63" s="29" t="s">
        <v>39</v>
      </c>
      <c r="C63" s="65" t="s">
        <v>109</v>
      </c>
      <c r="D63" s="73" t="s">
        <v>110</v>
      </c>
      <c r="E63" s="29" t="s">
        <v>111</v>
      </c>
      <c r="F63" s="92" t="s">
        <v>112</v>
      </c>
      <c r="G63" s="35" t="s">
        <v>113</v>
      </c>
      <c r="H63" s="35">
        <f>5000+2000</f>
        <v>7000</v>
      </c>
      <c r="I63" s="35">
        <v>0.85</v>
      </c>
      <c r="J63" s="35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114</v>
      </c>
      <c r="H64" s="35">
        <f>7000*0.01</f>
        <v>70</v>
      </c>
      <c r="I64" s="35">
        <v>0</v>
      </c>
      <c r="J64" s="35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115</v>
      </c>
      <c r="H65" s="35">
        <f>5*5*2+5</f>
        <v>55</v>
      </c>
      <c r="I65" s="35">
        <v>0</v>
      </c>
      <c r="J65" s="35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116</v>
      </c>
      <c r="H66" s="35">
        <v>7000</v>
      </c>
      <c r="I66" s="35">
        <v>0.15</v>
      </c>
      <c r="J66" s="35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106</v>
      </c>
      <c r="G67" s="34" t="s">
        <v>107</v>
      </c>
      <c r="H67" s="35">
        <f>7000</f>
        <v>7000</v>
      </c>
      <c r="I67" s="34">
        <f>0.042*4</f>
        <v>0.168</v>
      </c>
      <c r="J67" s="35">
        <f t="shared" ref="J67:J100" si="1">H67*I67</f>
        <v>1176</v>
      </c>
    </row>
    <row r="68" ht="16.5" spans="1:10">
      <c r="A68" s="28"/>
      <c r="B68" s="29"/>
      <c r="C68" s="29"/>
      <c r="D68" s="73"/>
      <c r="E68" s="29"/>
      <c r="F68" s="94" t="s">
        <v>117</v>
      </c>
      <c r="G68" s="35" t="s">
        <v>79</v>
      </c>
      <c r="H68" s="35">
        <v>7000</v>
      </c>
      <c r="I68" s="35">
        <v>0.24</v>
      </c>
      <c r="J68" s="35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118</v>
      </c>
      <c r="H69" s="35">
        <v>7000</v>
      </c>
      <c r="I69" s="35">
        <v>0.22</v>
      </c>
      <c r="J69" s="35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 t="shared" si="1"/>
        <v>770</v>
      </c>
    </row>
    <row r="71" ht="16.5" spans="1:10">
      <c r="A71" s="28">
        <v>45937</v>
      </c>
      <c r="B71" s="29" t="s">
        <v>39</v>
      </c>
      <c r="C71" s="65" t="s">
        <v>119</v>
      </c>
      <c r="D71" s="73" t="s">
        <v>120</v>
      </c>
      <c r="E71" s="29" t="s">
        <v>121</v>
      </c>
      <c r="F71" s="89" t="s">
        <v>122</v>
      </c>
      <c r="G71" s="35" t="s">
        <v>123</v>
      </c>
      <c r="H71" s="35">
        <v>25771</v>
      </c>
      <c r="I71" s="34">
        <v>1.07</v>
      </c>
      <c r="J71" s="35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82</v>
      </c>
      <c r="H72" s="35">
        <v>200</v>
      </c>
      <c r="I72" s="34">
        <v>0</v>
      </c>
      <c r="J72" s="35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83</v>
      </c>
      <c r="H73" s="35">
        <f>5*5*2+10</f>
        <v>60</v>
      </c>
      <c r="I73" s="34">
        <v>0</v>
      </c>
      <c r="J73" s="35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107</v>
      </c>
      <c r="H74" s="35">
        <f>25020</f>
        <v>25020</v>
      </c>
      <c r="I74" s="34">
        <f>0.042*4</f>
        <v>0.168</v>
      </c>
      <c r="J74" s="35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79</v>
      </c>
      <c r="H75" s="35">
        <v>25020</v>
      </c>
      <c r="I75" s="35">
        <v>0.24</v>
      </c>
      <c r="J75" s="35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 t="shared" si="1"/>
        <v>2752.2</v>
      </c>
    </row>
    <row r="77" ht="16.5" spans="1:10">
      <c r="A77" s="28">
        <v>45944</v>
      </c>
      <c r="B77" s="29" t="s">
        <v>39</v>
      </c>
      <c r="C77" s="65" t="s">
        <v>109</v>
      </c>
      <c r="D77" s="73" t="s">
        <v>124</v>
      </c>
      <c r="E77" s="29" t="s">
        <v>125</v>
      </c>
      <c r="F77" s="89" t="s">
        <v>126</v>
      </c>
      <c r="G77" s="35" t="s">
        <v>113</v>
      </c>
      <c r="H77" s="35">
        <v>210</v>
      </c>
      <c r="I77" s="35">
        <v>0.85</v>
      </c>
      <c r="J77" s="35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114</v>
      </c>
      <c r="H78" s="35">
        <v>2</v>
      </c>
      <c r="I78" s="35">
        <v>0</v>
      </c>
      <c r="J78" s="35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116</v>
      </c>
      <c r="H79" s="35">
        <v>153</v>
      </c>
      <c r="I79" s="35">
        <v>0.15</v>
      </c>
      <c r="J79" s="35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107</v>
      </c>
      <c r="H80" s="35">
        <f>153</f>
        <v>153</v>
      </c>
      <c r="I80" s="34">
        <f>0.042*4</f>
        <v>0.168</v>
      </c>
      <c r="J80" s="35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79</v>
      </c>
      <c r="H81" s="35">
        <v>153</v>
      </c>
      <c r="I81" s="35">
        <v>0.24</v>
      </c>
      <c r="J81" s="35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118</v>
      </c>
      <c r="H82" s="35">
        <v>153</v>
      </c>
      <c r="I82" s="35">
        <v>0.22</v>
      </c>
      <c r="J82" s="35">
        <f t="shared" si="1"/>
        <v>33.66</v>
      </c>
    </row>
    <row r="83" ht="16.5" spans="1:11">
      <c r="A83" s="28">
        <v>45944</v>
      </c>
      <c r="B83" s="29" t="s">
        <v>39</v>
      </c>
      <c r="C83" s="65" t="s">
        <v>102</v>
      </c>
      <c r="D83" s="73" t="s">
        <v>127</v>
      </c>
      <c r="E83" s="29" t="s">
        <v>128</v>
      </c>
      <c r="F83" s="89" t="s">
        <v>126</v>
      </c>
      <c r="G83" s="35" t="s">
        <v>129</v>
      </c>
      <c r="H83" s="35">
        <v>211</v>
      </c>
      <c r="I83" s="34">
        <v>1.07</v>
      </c>
      <c r="J83" s="35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82</v>
      </c>
      <c r="H84" s="35">
        <v>2</v>
      </c>
      <c r="I84" s="34">
        <v>0</v>
      </c>
      <c r="J84" s="35">
        <f t="shared" si="1"/>
        <v>0</v>
      </c>
      <c r="K84" s="104"/>
    </row>
    <row r="85" ht="16.5" spans="1:11">
      <c r="A85" s="89">
        <v>45952</v>
      </c>
      <c r="B85" s="65" t="s">
        <v>39</v>
      </c>
      <c r="C85" s="65">
        <v>40381</v>
      </c>
      <c r="D85" s="66" t="s">
        <v>130</v>
      </c>
      <c r="E85" s="65" t="s">
        <v>131</v>
      </c>
      <c r="F85" s="89" t="s">
        <v>132</v>
      </c>
      <c r="G85" s="35" t="s">
        <v>116</v>
      </c>
      <c r="H85" s="35">
        <v>473</v>
      </c>
      <c r="I85" s="35">
        <v>0.15</v>
      </c>
      <c r="J85" s="35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133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134</v>
      </c>
      <c r="G87" s="35" t="s">
        <v>79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118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135</v>
      </c>
      <c r="D89" s="73" t="s">
        <v>136</v>
      </c>
      <c r="E89" s="29" t="s">
        <v>137</v>
      </c>
      <c r="F89" s="89" t="s">
        <v>138</v>
      </c>
      <c r="G89" s="35" t="s">
        <v>139</v>
      </c>
      <c r="H89" s="35">
        <f>21000*1.03</f>
        <v>21630</v>
      </c>
      <c r="I89" s="35">
        <v>0.85</v>
      </c>
      <c r="J89" s="35">
        <f t="shared" si="1"/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114</v>
      </c>
      <c r="H90" s="35">
        <f>21000*0.01</f>
        <v>210</v>
      </c>
      <c r="I90" s="35">
        <v>0</v>
      </c>
      <c r="J90" s="35">
        <f t="shared" si="1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116</v>
      </c>
      <c r="H91" s="35">
        <v>20374</v>
      </c>
      <c r="I91" s="35">
        <v>0.15</v>
      </c>
      <c r="J91" s="35">
        <f t="shared" si="1"/>
        <v>3056.1</v>
      </c>
    </row>
    <row r="92" ht="16.5" spans="1:11">
      <c r="A92" s="28"/>
      <c r="B92" s="29"/>
      <c r="C92" s="29"/>
      <c r="D92" s="73"/>
      <c r="E92" s="29"/>
      <c r="F92" s="89" t="s">
        <v>134</v>
      </c>
      <c r="G92" s="34" t="s">
        <v>107</v>
      </c>
      <c r="H92" s="35">
        <f>21000</f>
        <v>21000</v>
      </c>
      <c r="I92" s="34">
        <f>0.042*4</f>
        <v>0.168</v>
      </c>
      <c r="J92" s="35">
        <f t="shared" si="1"/>
        <v>3528</v>
      </c>
    </row>
    <row r="93" ht="16.5" spans="1:11">
      <c r="A93" s="28"/>
      <c r="B93" s="29"/>
      <c r="C93" s="29"/>
      <c r="D93" s="73"/>
      <c r="E93" s="29"/>
      <c r="F93" s="89" t="s">
        <v>140</v>
      </c>
      <c r="G93" s="35" t="s">
        <v>116</v>
      </c>
      <c r="H93" s="35">
        <v>3046</v>
      </c>
      <c r="I93" s="35">
        <v>0.15</v>
      </c>
      <c r="J93" s="35">
        <f t="shared" si="1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113</v>
      </c>
      <c r="H94" s="35">
        <v>4445</v>
      </c>
      <c r="I94" s="35">
        <v>0.85</v>
      </c>
      <c r="J94" s="35">
        <f t="shared" si="1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114</v>
      </c>
      <c r="H95" s="35">
        <v>45</v>
      </c>
      <c r="I95" s="35">
        <v>0</v>
      </c>
      <c r="J95" s="35">
        <f t="shared" si="1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107</v>
      </c>
      <c r="H96" s="35">
        <f>2464</f>
        <v>2464</v>
      </c>
      <c r="I96" s="34">
        <f>0.042*4</f>
        <v>0.168</v>
      </c>
      <c r="J96" s="35">
        <f t="shared" si="1"/>
        <v>413.952</v>
      </c>
    </row>
    <row r="97" ht="16.5" spans="1:13">
      <c r="A97" s="28"/>
      <c r="B97" s="29"/>
      <c r="C97" s="29"/>
      <c r="D97" s="73"/>
      <c r="E97" s="29"/>
      <c r="F97" s="62" t="s">
        <v>141</v>
      </c>
      <c r="G97" s="35" t="s">
        <v>79</v>
      </c>
      <c r="H97" s="35">
        <v>23477</v>
      </c>
      <c r="I97" s="35">
        <v>0.24</v>
      </c>
      <c r="J97" s="35">
        <f t="shared" si="1"/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5">
        <f t="shared" si="1"/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118</v>
      </c>
      <c r="H99" s="35">
        <v>23477</v>
      </c>
      <c r="I99" s="35">
        <v>0.22</v>
      </c>
      <c r="J99" s="35">
        <f t="shared" si="1"/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142</v>
      </c>
      <c r="H100" s="35">
        <f>180+160+120+175+100+145</f>
        <v>880</v>
      </c>
      <c r="I100" s="35">
        <v>0.24</v>
      </c>
      <c r="J100" s="35">
        <f t="shared" si="1"/>
        <v>211.2</v>
      </c>
    </row>
    <row r="101" ht="16.5" spans="1:13">
      <c r="J101" s="122">
        <f>SUM(J3:J100)</f>
        <v>220872.112</v>
      </c>
    </row>
    <row r="106" ht="28.5" spans="1:13">
      <c r="A106" s="49" t="s">
        <v>143</v>
      </c>
      <c r="B106" s="49"/>
      <c r="C106" s="49"/>
      <c r="D106" s="49"/>
      <c r="E106" s="49"/>
      <c r="F106" s="49"/>
      <c r="G106" s="49"/>
      <c r="H106" s="49"/>
      <c r="I106" s="49"/>
      <c r="J106" s="147"/>
    </row>
    <row r="107" ht="14.5" spans="1:13">
      <c r="A107" s="50" t="s">
        <v>144</v>
      </c>
      <c r="B107" s="50" t="s">
        <v>145</v>
      </c>
      <c r="C107" s="50" t="s">
        <v>146</v>
      </c>
      <c r="D107" s="50" t="s">
        <v>147</v>
      </c>
      <c r="E107" s="50" t="s">
        <v>148</v>
      </c>
      <c r="F107" s="51" t="s">
        <v>149</v>
      </c>
      <c r="G107" s="50" t="s">
        <v>150</v>
      </c>
      <c r="H107" s="50" t="s">
        <v>151</v>
      </c>
      <c r="I107" s="50" t="s">
        <v>152</v>
      </c>
      <c r="J107" s="148" t="s">
        <v>153</v>
      </c>
    </row>
    <row r="108" ht="28.5" spans="1:13">
      <c r="A108" s="50"/>
      <c r="B108" s="50"/>
      <c r="C108" s="50"/>
      <c r="D108" s="50" t="s">
        <v>154</v>
      </c>
      <c r="E108" s="50"/>
      <c r="F108" s="51" t="s">
        <v>155</v>
      </c>
      <c r="G108" s="50"/>
      <c r="H108" s="50"/>
      <c r="I108" s="52" t="s">
        <v>156</v>
      </c>
      <c r="J108" s="148"/>
      <c r="K108" t="s">
        <v>157</v>
      </c>
      <c r="L108" t="s">
        <v>158</v>
      </c>
      <c r="M108" t="s">
        <v>159</v>
      </c>
    </row>
    <row r="109" ht="14.5" spans="1:13">
      <c r="A109" s="111">
        <v>1</v>
      </c>
      <c r="B109" s="112">
        <v>45981</v>
      </c>
      <c r="C109" s="113" t="s">
        <v>160</v>
      </c>
      <c r="D109" s="113" t="s">
        <v>161</v>
      </c>
      <c r="E109" s="113" t="s">
        <v>162</v>
      </c>
      <c r="F109" s="113" t="s">
        <v>162</v>
      </c>
      <c r="G109" s="113" t="s">
        <v>162</v>
      </c>
      <c r="H109" s="113"/>
      <c r="I109" s="149">
        <v>17642.04</v>
      </c>
      <c r="J109" s="150"/>
      <c r="K109">
        <v>111444.88</v>
      </c>
      <c r="L109">
        <v>104434.48</v>
      </c>
      <c r="M109">
        <f>K109-L109</f>
        <v>7010.40000000001</v>
      </c>
    </row>
    <row r="110" ht="14.5" spans="1:13">
      <c r="A110" s="111">
        <v>1</v>
      </c>
      <c r="B110" s="112">
        <v>45981</v>
      </c>
      <c r="C110" s="113" t="s">
        <v>160</v>
      </c>
      <c r="D110" s="113" t="s">
        <v>161</v>
      </c>
      <c r="E110" s="113" t="s">
        <v>162</v>
      </c>
      <c r="F110" s="113" t="s">
        <v>162</v>
      </c>
      <c r="G110" s="113" t="s">
        <v>162</v>
      </c>
      <c r="H110" s="113"/>
      <c r="I110" s="149">
        <v>25313.38</v>
      </c>
      <c r="J110" s="150"/>
    </row>
    <row r="111" ht="14.5" spans="1:13">
      <c r="A111" s="111">
        <v>1</v>
      </c>
      <c r="B111" s="112">
        <v>45981</v>
      </c>
      <c r="C111" s="113" t="s">
        <v>160</v>
      </c>
      <c r="D111" s="113" t="s">
        <v>161</v>
      </c>
      <c r="E111" s="113" t="s">
        <v>162</v>
      </c>
      <c r="F111" s="113" t="s">
        <v>162</v>
      </c>
      <c r="G111" s="113" t="s">
        <v>162</v>
      </c>
      <c r="H111" s="113"/>
      <c r="I111" s="149">
        <v>4122.48</v>
      </c>
      <c r="J111" s="150"/>
    </row>
    <row r="112" ht="14.5" spans="1:13">
      <c r="A112" s="111">
        <v>1</v>
      </c>
      <c r="B112" s="112">
        <v>45981</v>
      </c>
      <c r="C112" s="113" t="s">
        <v>160</v>
      </c>
      <c r="D112" s="113" t="s">
        <v>161</v>
      </c>
      <c r="E112" s="113" t="s">
        <v>162</v>
      </c>
      <c r="F112" s="113" t="s">
        <v>162</v>
      </c>
      <c r="G112" s="113" t="s">
        <v>162</v>
      </c>
      <c r="H112" s="113"/>
      <c r="I112" s="149">
        <v>24961.52</v>
      </c>
      <c r="J112" s="150"/>
    </row>
    <row r="113" ht="14.5" spans="1:10">
      <c r="A113" s="111">
        <v>1</v>
      </c>
      <c r="B113" s="112">
        <v>45981</v>
      </c>
      <c r="C113" s="113" t="s">
        <v>160</v>
      </c>
      <c r="D113" s="113" t="s">
        <v>161</v>
      </c>
      <c r="E113" s="113" t="s">
        <v>162</v>
      </c>
      <c r="F113" s="113" t="s">
        <v>162</v>
      </c>
      <c r="G113" s="113" t="s">
        <v>162</v>
      </c>
      <c r="H113" s="113"/>
      <c r="I113" s="149">
        <v>6659.1</v>
      </c>
      <c r="J113" s="150"/>
    </row>
    <row r="114" ht="14.5" spans="1:10">
      <c r="A114" s="111">
        <v>1</v>
      </c>
      <c r="B114" s="112">
        <v>45981</v>
      </c>
      <c r="C114" s="113" t="s">
        <v>160</v>
      </c>
      <c r="D114" s="113" t="s">
        <v>161</v>
      </c>
      <c r="E114" s="113" t="s">
        <v>162</v>
      </c>
      <c r="F114" s="113" t="s">
        <v>162</v>
      </c>
      <c r="G114" s="113" t="s">
        <v>162</v>
      </c>
      <c r="H114" s="113"/>
      <c r="I114" s="149">
        <v>22330.6</v>
      </c>
      <c r="J114" s="150"/>
    </row>
    <row r="115" ht="14.5" spans="1:10">
      <c r="A115" s="111">
        <v>1</v>
      </c>
      <c r="B115" s="112">
        <v>45981</v>
      </c>
      <c r="C115" s="113" t="s">
        <v>160</v>
      </c>
      <c r="D115" s="113" t="s">
        <v>161</v>
      </c>
      <c r="E115" s="113" t="s">
        <v>162</v>
      </c>
      <c r="F115" s="113" t="s">
        <v>162</v>
      </c>
      <c r="G115" s="113" t="s">
        <v>162</v>
      </c>
      <c r="H115" s="113"/>
      <c r="I115" s="149">
        <v>1883.16</v>
      </c>
      <c r="J115" s="150"/>
    </row>
    <row r="116" ht="14.5" spans="1:10">
      <c r="A116" s="111">
        <v>1</v>
      </c>
      <c r="B116" s="112">
        <v>45981</v>
      </c>
      <c r="C116" s="113" t="s">
        <v>160</v>
      </c>
      <c r="D116" s="113" t="s">
        <v>161</v>
      </c>
      <c r="E116" s="113" t="s">
        <v>162</v>
      </c>
      <c r="F116" s="113" t="s">
        <v>162</v>
      </c>
      <c r="G116" s="113" t="s">
        <v>162</v>
      </c>
      <c r="H116" s="113"/>
      <c r="I116" s="149">
        <v>8532.6</v>
      </c>
      <c r="J116" s="150"/>
    </row>
    <row r="117" spans="1:10">
      <c r="I117">
        <f>SUM(I109:I116)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opLeftCell="A99" workbookViewId="0">
      <selection activeCell="A123" sqref="A123:J123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5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42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35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35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35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35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35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35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si="0"/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0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0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0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0"/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0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0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0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0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0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0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0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0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0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0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0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0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0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0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0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0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35">
        <f t="shared" si="0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35">
        <f t="shared" si="0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35">
        <f t="shared" si="0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35">
        <f t="shared" si="0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35">
        <f t="shared" si="0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35">
        <f t="shared" si="0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35">
        <f t="shared" si="0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35">
        <f t="shared" si="0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0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ref="J67:J115" si="1"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35">
        <f t="shared" si="1"/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35">
        <f t="shared" si="1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35">
        <f t="shared" si="1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35">
        <f t="shared" si="1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35">
        <f t="shared" si="1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35">
        <f t="shared" si="1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35">
        <f t="shared" si="1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35">
        <f t="shared" si="1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35">
        <f t="shared" si="1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1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1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1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1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1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1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1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1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1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1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1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1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1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1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1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1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1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35">
        <f t="shared" si="1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35">
        <f t="shared" si="1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35">
        <f t="shared" si="1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35">
        <f t="shared" si="1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35">
        <f t="shared" si="1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35">
        <f t="shared" si="1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35">
        <f t="shared" si="1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35">
        <f t="shared" si="1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35">
        <f t="shared" si="1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35">
        <f t="shared" si="1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1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1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1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1"/>
        <v>2940</v>
      </c>
    </row>
    <row r="113" ht="16.5" spans="1:12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1"/>
        <v>270</v>
      </c>
    </row>
    <row r="114" ht="16.5" spans="1:12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1"/>
        <v>2400</v>
      </c>
    </row>
    <row r="115" ht="16.5" spans="1:12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1"/>
        <v>1100</v>
      </c>
    </row>
    <row r="116" ht="16.5" spans="1:12">
      <c r="J116" s="122">
        <f>SUM(J3:J115)</f>
        <v>179508.032</v>
      </c>
    </row>
    <row r="123" ht="28.5" spans="1:12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2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2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  <c r="K125" t="s">
        <v>214</v>
      </c>
      <c r="L125" t="s">
        <v>159</v>
      </c>
    </row>
    <row r="126" spans="1:12">
      <c r="A126" s="123">
        <v>1</v>
      </c>
      <c r="B126" s="124">
        <v>46028</v>
      </c>
      <c r="C126" s="125" t="s">
        <v>160</v>
      </c>
      <c r="D126" s="125" t="s">
        <v>161</v>
      </c>
      <c r="E126" s="113" t="s">
        <v>215</v>
      </c>
      <c r="F126" s="113"/>
      <c r="G126" s="113" t="s">
        <v>216</v>
      </c>
      <c r="H126" s="113">
        <v>30.9</v>
      </c>
      <c r="I126" s="143">
        <f>27577.7+4203.36+8757</f>
        <v>40538.06</v>
      </c>
      <c r="J126" s="113"/>
      <c r="K126">
        <v>40535.33</v>
      </c>
      <c r="L126">
        <f>I126-K126</f>
        <v>2.72999999999593</v>
      </c>
    </row>
    <row r="127" spans="1:12">
      <c r="A127" s="127"/>
      <c r="B127" s="128"/>
      <c r="C127" s="129"/>
      <c r="D127" s="129"/>
      <c r="E127" s="113" t="s">
        <v>217</v>
      </c>
      <c r="F127" s="113"/>
      <c r="G127" s="113" t="s">
        <v>216</v>
      </c>
      <c r="H127" s="113">
        <v>18.9</v>
      </c>
      <c r="I127" s="139"/>
      <c r="J127" s="117"/>
    </row>
    <row r="128" spans="1:12">
      <c r="A128" s="131"/>
      <c r="B128" s="132"/>
      <c r="C128" s="133"/>
      <c r="D128" s="133"/>
      <c r="E128" s="113" t="s">
        <v>218</v>
      </c>
      <c r="F128" s="113"/>
      <c r="G128" s="113" t="s">
        <v>216</v>
      </c>
      <c r="H128" s="113">
        <v>65.3</v>
      </c>
      <c r="I128" s="140"/>
      <c r="J128" s="117"/>
    </row>
    <row r="129" spans="1:10">
      <c r="A129" s="127">
        <v>1</v>
      </c>
      <c r="B129" s="128">
        <v>46028</v>
      </c>
      <c r="C129" s="129" t="s">
        <v>160</v>
      </c>
      <c r="D129" s="129" t="s">
        <v>219</v>
      </c>
      <c r="E129" s="113" t="s">
        <v>220</v>
      </c>
      <c r="F129" s="113"/>
      <c r="G129" s="113" t="s">
        <v>221</v>
      </c>
      <c r="H129" s="113">
        <v>3834</v>
      </c>
      <c r="I129" s="137">
        <f>421.74+1179.36</f>
        <v>1601.1</v>
      </c>
      <c r="J129" s="117"/>
    </row>
    <row r="130" spans="1:10">
      <c r="A130" s="131"/>
      <c r="B130" s="132"/>
      <c r="C130" s="133"/>
      <c r="D130" s="133"/>
      <c r="E130" s="113" t="s">
        <v>217</v>
      </c>
      <c r="F130" s="113"/>
      <c r="G130" s="113" t="s">
        <v>222</v>
      </c>
      <c r="H130" s="113">
        <v>7020</v>
      </c>
      <c r="I130" s="138"/>
      <c r="J130" s="141"/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28"/>
    <mergeCell ref="A129:A130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28"/>
    <mergeCell ref="B129:B130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28"/>
    <mergeCell ref="C129:C130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28"/>
    <mergeCell ref="D129:D130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28"/>
    <mergeCell ref="I129:I130"/>
    <mergeCell ref="J124:J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opLeftCell="B85" workbookViewId="0">
      <selection activeCell="E101" sqref="E101:E10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19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20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19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19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19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19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19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19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si="0"/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0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0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0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0"/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0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0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0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0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0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0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0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0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0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0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0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0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0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0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0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0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105">
        <f t="shared" si="0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105">
        <f t="shared" si="0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105">
        <f t="shared" si="0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105">
        <f t="shared" si="0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105">
        <f t="shared" si="0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105">
        <f t="shared" si="0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105">
        <f t="shared" si="0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105">
        <f t="shared" si="0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0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ref="J67:J115" si="1"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135">
        <f t="shared" si="1"/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135">
        <f t="shared" si="1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135">
        <f t="shared" si="1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135">
        <f t="shared" si="1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135">
        <f t="shared" si="1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135">
        <f t="shared" si="1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135">
        <f t="shared" si="1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135">
        <f t="shared" si="1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135">
        <f t="shared" si="1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1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1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1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1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1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1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1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1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1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1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1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1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1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1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1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1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1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105">
        <f t="shared" si="1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105">
        <f t="shared" si="1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135">
        <f t="shared" si="1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135">
        <f t="shared" si="1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135">
        <f t="shared" si="1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135">
        <f t="shared" si="1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135">
        <f t="shared" si="1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135">
        <f t="shared" si="1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135">
        <f t="shared" si="1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135">
        <f t="shared" si="1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1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1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1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1"/>
        <v>2940</v>
      </c>
    </row>
    <row r="113" ht="16.5" spans="1:11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1"/>
        <v>270</v>
      </c>
    </row>
    <row r="114" ht="16.5" spans="1:11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1"/>
        <v>2400</v>
      </c>
    </row>
    <row r="115" ht="16.5" spans="1:11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1"/>
        <v>1100</v>
      </c>
    </row>
    <row r="116" ht="16.5" spans="1:11">
      <c r="J116" s="122">
        <f>SUM(J3:J115)</f>
        <v>179508.032</v>
      </c>
    </row>
    <row r="123" ht="28.5" spans="1:11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1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1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</row>
    <row r="126" spans="1:11">
      <c r="A126" s="123">
        <v>1</v>
      </c>
      <c r="B126" s="124">
        <v>46039</v>
      </c>
      <c r="C126" s="125" t="s">
        <v>160</v>
      </c>
      <c r="D126" s="125" t="s">
        <v>219</v>
      </c>
      <c r="E126" s="113" t="s">
        <v>223</v>
      </c>
      <c r="F126" s="113"/>
      <c r="G126" s="113" t="s">
        <v>221</v>
      </c>
      <c r="H126" s="113">
        <v>7681</v>
      </c>
      <c r="I126" s="136">
        <v>11242.65</v>
      </c>
      <c r="J126" s="113"/>
      <c r="K126">
        <v>6528.85</v>
      </c>
    </row>
    <row r="127" spans="1:11">
      <c r="A127" s="127"/>
      <c r="B127" s="128"/>
      <c r="C127" s="129"/>
      <c r="D127" s="129"/>
      <c r="E127" s="113" t="s">
        <v>217</v>
      </c>
      <c r="F127" s="113"/>
      <c r="G127" s="113" t="s">
        <v>222</v>
      </c>
      <c r="H127" s="113">
        <v>7400</v>
      </c>
      <c r="I127" s="137"/>
      <c r="J127" s="117"/>
      <c r="K127">
        <v>1554</v>
      </c>
    </row>
    <row r="128" spans="1:11">
      <c r="A128" s="127"/>
      <c r="B128" s="128"/>
      <c r="C128" s="129"/>
      <c r="D128" s="129"/>
      <c r="E128" s="113" t="s">
        <v>220</v>
      </c>
      <c r="F128" s="113"/>
      <c r="G128" s="113" t="s">
        <v>221</v>
      </c>
      <c r="H128" s="113">
        <v>7400</v>
      </c>
      <c r="I128" s="137"/>
      <c r="J128" s="117"/>
      <c r="K128">
        <v>814</v>
      </c>
    </row>
    <row r="129" spans="1:12">
      <c r="A129" s="127"/>
      <c r="B129" s="128"/>
      <c r="C129" s="129"/>
      <c r="D129" s="129"/>
      <c r="E129" s="113" t="s">
        <v>224</v>
      </c>
      <c r="F129" s="113"/>
      <c r="G129" s="113" t="s">
        <v>225</v>
      </c>
      <c r="H129" s="113">
        <v>7400</v>
      </c>
      <c r="I129" s="137"/>
      <c r="J129" s="117"/>
      <c r="K129">
        <v>1776</v>
      </c>
      <c r="L129" t="s">
        <v>226</v>
      </c>
    </row>
    <row r="130" spans="1:12">
      <c r="A130" s="127"/>
      <c r="B130" s="128"/>
      <c r="C130" s="129"/>
      <c r="D130" s="129"/>
      <c r="E130" s="113" t="s">
        <v>227</v>
      </c>
      <c r="F130" s="113"/>
      <c r="G130" s="113" t="s">
        <v>221</v>
      </c>
      <c r="H130" s="113">
        <v>7400</v>
      </c>
      <c r="I130" s="137"/>
      <c r="J130" s="117"/>
      <c r="K130">
        <v>259</v>
      </c>
    </row>
    <row r="131" spans="1:12">
      <c r="A131" s="131"/>
      <c r="B131" s="132"/>
      <c r="C131" s="133"/>
      <c r="D131" s="133"/>
      <c r="E131" s="113" t="s">
        <v>228</v>
      </c>
      <c r="F131" s="113"/>
      <c r="G131" s="113" t="s">
        <v>225</v>
      </c>
      <c r="H131" s="113">
        <v>7400</v>
      </c>
      <c r="I131" s="138"/>
      <c r="J131" s="117"/>
      <c r="K131">
        <v>310.8</v>
      </c>
    </row>
    <row r="132" spans="1:12">
      <c r="A132" s="127">
        <v>1</v>
      </c>
      <c r="B132" s="128">
        <v>46039</v>
      </c>
      <c r="C132" s="129" t="s">
        <v>160</v>
      </c>
      <c r="D132" s="129" t="s">
        <v>219</v>
      </c>
      <c r="E132" s="113" t="s">
        <v>223</v>
      </c>
      <c r="F132" s="113"/>
      <c r="G132" s="113" t="s">
        <v>221</v>
      </c>
      <c r="H132" s="113">
        <v>5775</v>
      </c>
      <c r="I132" s="139">
        <v>7950.25</v>
      </c>
      <c r="J132" s="117"/>
      <c r="K132">
        <v>4908.75</v>
      </c>
    </row>
    <row r="133" spans="1:12">
      <c r="A133" s="127"/>
      <c r="B133" s="128"/>
      <c r="C133" s="129"/>
      <c r="D133" s="129"/>
      <c r="E133" s="113" t="s">
        <v>217</v>
      </c>
      <c r="F133" s="113"/>
      <c r="G133" s="113" t="s">
        <v>222</v>
      </c>
      <c r="H133" s="113">
        <v>5500</v>
      </c>
      <c r="I133" s="139"/>
      <c r="J133" s="117"/>
      <c r="K133">
        <v>924</v>
      </c>
      <c r="L133" t="s">
        <v>229</v>
      </c>
    </row>
    <row r="134" spans="1:12">
      <c r="A134" s="127"/>
      <c r="B134" s="128"/>
      <c r="C134" s="129"/>
      <c r="D134" s="129"/>
      <c r="E134" s="113" t="s">
        <v>220</v>
      </c>
      <c r="F134" s="113"/>
      <c r="G134" s="113" t="s">
        <v>221</v>
      </c>
      <c r="H134" s="113">
        <v>5500</v>
      </c>
      <c r="I134" s="139"/>
      <c r="J134" s="117"/>
      <c r="K134">
        <v>605</v>
      </c>
    </row>
    <row r="135" spans="1:12">
      <c r="A135" s="127"/>
      <c r="B135" s="128"/>
      <c r="C135" s="129"/>
      <c r="D135" s="129"/>
      <c r="E135" s="113" t="s">
        <v>224</v>
      </c>
      <c r="F135" s="113"/>
      <c r="G135" s="113" t="s">
        <v>225</v>
      </c>
      <c r="H135" s="113">
        <v>5500</v>
      </c>
      <c r="I135" s="139"/>
      <c r="J135" s="117"/>
      <c r="K135">
        <v>1320</v>
      </c>
    </row>
    <row r="136" spans="1:12">
      <c r="A136" s="131"/>
      <c r="B136" s="132"/>
      <c r="C136" s="133"/>
      <c r="D136" s="133"/>
      <c r="E136" s="113" t="s">
        <v>227</v>
      </c>
      <c r="F136" s="113"/>
      <c r="G136" s="113" t="s">
        <v>221</v>
      </c>
      <c r="H136" s="113">
        <v>5500</v>
      </c>
      <c r="I136" s="140"/>
      <c r="J136" s="141"/>
      <c r="K136">
        <v>192.5</v>
      </c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31"/>
    <mergeCell ref="A132:A136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31"/>
    <mergeCell ref="B132:B136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31"/>
    <mergeCell ref="C132:C136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31"/>
    <mergeCell ref="D132:D136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31"/>
    <mergeCell ref="I132:I136"/>
    <mergeCell ref="J124:J1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opLeftCell="A105" workbookViewId="0">
      <selection activeCell="E137" sqref="E13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19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20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19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19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19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19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19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19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si="0"/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0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0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0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0"/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0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0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0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0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0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0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0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0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0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0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0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0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0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0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0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0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119">
        <f t="shared" si="0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119">
        <f t="shared" si="0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119">
        <f t="shared" si="0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119">
        <f t="shared" si="0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119">
        <f t="shared" si="0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119">
        <f t="shared" si="0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119">
        <f t="shared" si="0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119">
        <f t="shared" si="0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121">
        <f t="shared" si="0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121">
        <f t="shared" ref="J67:J115" si="1"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121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121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121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121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121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119">
        <f t="shared" si="1"/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119">
        <f t="shared" si="1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119">
        <f t="shared" si="1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119">
        <f t="shared" si="1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119">
        <f t="shared" si="1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119">
        <f t="shared" si="1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119">
        <f t="shared" si="1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119">
        <f t="shared" si="1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119">
        <f t="shared" si="1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1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1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1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1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1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1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1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1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1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1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1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1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1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1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121">
        <f t="shared" si="1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121">
        <f t="shared" si="1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121">
        <f t="shared" si="1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119">
        <f t="shared" si="1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119">
        <f t="shared" si="1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119">
        <f t="shared" si="1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119">
        <f t="shared" si="1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119">
        <f t="shared" si="1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119">
        <f t="shared" si="1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119">
        <f t="shared" si="1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119">
        <f t="shared" si="1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119">
        <f t="shared" si="1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119">
        <f t="shared" si="1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1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1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1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1"/>
        <v>2940</v>
      </c>
    </row>
    <row r="113" ht="16.5" spans="1:10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1"/>
        <v>270</v>
      </c>
    </row>
    <row r="114" ht="16.5" spans="1:10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1"/>
        <v>2400</v>
      </c>
    </row>
    <row r="115" ht="16.5" spans="1:10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1"/>
        <v>1100</v>
      </c>
    </row>
    <row r="116" ht="16.5" spans="1:10">
      <c r="J116" s="122">
        <f>SUM(J3:J115)</f>
        <v>179508.032</v>
      </c>
    </row>
    <row r="123" ht="28.5" spans="1:10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0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0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</row>
    <row r="126" spans="1:10">
      <c r="A126" s="123">
        <v>1</v>
      </c>
      <c r="B126" s="124">
        <v>46044</v>
      </c>
      <c r="C126" s="125" t="s">
        <v>160</v>
      </c>
      <c r="D126" s="125" t="s">
        <v>219</v>
      </c>
      <c r="E126" s="113" t="s">
        <v>223</v>
      </c>
      <c r="F126" s="113"/>
      <c r="G126" s="113" t="s">
        <v>221</v>
      </c>
      <c r="H126" s="113">
        <v>5150</v>
      </c>
      <c r="I126" s="126">
        <v>8508.5</v>
      </c>
      <c r="J126" s="113"/>
    </row>
    <row r="127" spans="1:10">
      <c r="A127" s="127"/>
      <c r="B127" s="128"/>
      <c r="C127" s="129"/>
      <c r="D127" s="129"/>
      <c r="E127" s="113" t="s">
        <v>217</v>
      </c>
      <c r="F127" s="113"/>
      <c r="G127" s="113" t="s">
        <v>222</v>
      </c>
      <c r="H127" s="113">
        <v>5000</v>
      </c>
      <c r="I127" s="130"/>
      <c r="J127" s="117"/>
    </row>
    <row r="128" spans="1:10">
      <c r="A128" s="127"/>
      <c r="B128" s="128"/>
      <c r="C128" s="129"/>
      <c r="D128" s="129"/>
      <c r="E128" s="113" t="s">
        <v>230</v>
      </c>
      <c r="F128" s="113"/>
      <c r="G128" s="113" t="s">
        <v>221</v>
      </c>
      <c r="H128" s="113">
        <v>5000</v>
      </c>
      <c r="I128" s="130"/>
      <c r="J128" s="117"/>
    </row>
    <row r="129" spans="1:10">
      <c r="A129" s="127"/>
      <c r="B129" s="128"/>
      <c r="C129" s="129"/>
      <c r="D129" s="129"/>
      <c r="E129" s="113" t="s">
        <v>224</v>
      </c>
      <c r="F129" s="113"/>
      <c r="G129" s="113" t="s">
        <v>225</v>
      </c>
      <c r="H129" s="113">
        <v>5000</v>
      </c>
      <c r="I129" s="130"/>
      <c r="J129" s="117"/>
    </row>
    <row r="130" spans="1:10">
      <c r="A130" s="127"/>
      <c r="B130" s="128"/>
      <c r="C130" s="129"/>
      <c r="D130" s="129"/>
      <c r="E130" s="113" t="s">
        <v>224</v>
      </c>
      <c r="F130" s="113"/>
      <c r="G130" s="113" t="s">
        <v>225</v>
      </c>
      <c r="H130" s="113">
        <v>5000</v>
      </c>
      <c r="I130" s="130"/>
      <c r="J130" s="117"/>
    </row>
    <row r="131" spans="1:10">
      <c r="A131" s="131"/>
      <c r="B131" s="132"/>
      <c r="C131" s="133"/>
      <c r="D131" s="133"/>
      <c r="E131" s="113" t="s">
        <v>220</v>
      </c>
      <c r="F131" s="113"/>
      <c r="G131" s="113" t="s">
        <v>221</v>
      </c>
      <c r="H131" s="113">
        <v>5000</v>
      </c>
      <c r="I131" s="134"/>
      <c r="J131" s="117"/>
    </row>
  </sheetData>
  <autoFilter xmlns:etc="http://www.wps.cn/officeDocument/2017/etCustomData" ref="A1:J116" etc:filterBottomFollowUsedRange="0">
    <extLst/>
  </autoFilter>
  <mergeCells count="138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31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31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31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31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31"/>
    <mergeCell ref="J124:J12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topLeftCell="A63" workbookViewId="0">
      <selection activeCell="G96" sqref="G9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231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2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0">
      <c r="A17" s="28"/>
      <c r="B17" s="29"/>
      <c r="C17" s="29"/>
      <c r="D17" s="73"/>
      <c r="E17" s="29"/>
      <c r="F17" s="92" t="s">
        <v>108</v>
      </c>
      <c r="G17" s="35" t="s">
        <v>79</v>
      </c>
      <c r="H17" s="35">
        <v>7020</v>
      </c>
      <c r="I17" s="35">
        <v>0.24</v>
      </c>
      <c r="J17" s="35">
        <f t="shared" si="0"/>
        <v>1684.8</v>
      </c>
    </row>
    <row r="18" ht="16.5" spans="1:10">
      <c r="A18" s="28"/>
      <c r="B18" s="29"/>
      <c r="C18" s="29"/>
      <c r="D18" s="73"/>
      <c r="E18" s="29"/>
      <c r="F18" s="94"/>
      <c r="G18" s="34" t="s">
        <v>22</v>
      </c>
      <c r="H18" s="35">
        <f>7020-3834</f>
        <v>3186</v>
      </c>
      <c r="I18" s="34">
        <v>0.11</v>
      </c>
      <c r="J18" s="35">
        <f t="shared" si="0"/>
        <v>350.46</v>
      </c>
    </row>
    <row r="19" ht="16.5" spans="1:10">
      <c r="A19" s="28">
        <v>45919</v>
      </c>
      <c r="B19" s="29" t="s">
        <v>39</v>
      </c>
      <c r="C19" s="65" t="s">
        <v>109</v>
      </c>
      <c r="D19" s="73" t="s">
        <v>110</v>
      </c>
      <c r="E19" s="29" t="s">
        <v>111</v>
      </c>
      <c r="F19" s="92" t="s">
        <v>112</v>
      </c>
      <c r="G19" s="35" t="s">
        <v>113</v>
      </c>
      <c r="H19" s="35">
        <f>5000+2000</f>
        <v>7000</v>
      </c>
      <c r="I19" s="35">
        <v>0.85</v>
      </c>
      <c r="J19" s="35">
        <f t="shared" si="0"/>
        <v>5950</v>
      </c>
    </row>
    <row r="20" ht="16.5" spans="1:10">
      <c r="A20" s="28"/>
      <c r="B20" s="29"/>
      <c r="C20" s="29"/>
      <c r="D20" s="73"/>
      <c r="E20" s="29"/>
      <c r="F20" s="94"/>
      <c r="G20" s="35" t="s">
        <v>114</v>
      </c>
      <c r="H20" s="35">
        <f>7000*0.01</f>
        <v>70</v>
      </c>
      <c r="I20" s="35">
        <v>0</v>
      </c>
      <c r="J20" s="35">
        <f t="shared" si="0"/>
        <v>0</v>
      </c>
    </row>
    <row r="21" ht="16.5" spans="1:10">
      <c r="A21" s="28"/>
      <c r="B21" s="29"/>
      <c r="C21" s="29"/>
      <c r="D21" s="73"/>
      <c r="E21" s="29"/>
      <c r="F21" s="94"/>
      <c r="G21" s="35" t="s">
        <v>115</v>
      </c>
      <c r="H21" s="35">
        <f>5*5*2+5</f>
        <v>55</v>
      </c>
      <c r="I21" s="35">
        <v>0</v>
      </c>
      <c r="J21" s="35">
        <f t="shared" si="0"/>
        <v>0</v>
      </c>
    </row>
    <row r="22" ht="16.5" spans="1:10">
      <c r="A22" s="28"/>
      <c r="B22" s="29"/>
      <c r="C22" s="29"/>
      <c r="D22" s="73"/>
      <c r="E22" s="29"/>
      <c r="F22" s="94"/>
      <c r="G22" s="35" t="s">
        <v>116</v>
      </c>
      <c r="H22" s="35">
        <v>7000</v>
      </c>
      <c r="I22" s="35">
        <v>0.15</v>
      </c>
      <c r="J22" s="35">
        <f t="shared" si="0"/>
        <v>1050</v>
      </c>
    </row>
    <row r="23" ht="16.5" spans="1:10">
      <c r="A23" s="28"/>
      <c r="B23" s="29"/>
      <c r="C23" s="29"/>
      <c r="D23" s="73"/>
      <c r="E23" s="29"/>
      <c r="F23" s="89" t="s">
        <v>106</v>
      </c>
      <c r="G23" s="34" t="s">
        <v>107</v>
      </c>
      <c r="H23" s="35">
        <f>7000</f>
        <v>7000</v>
      </c>
      <c r="I23" s="34">
        <f>0.042*4</f>
        <v>0.168</v>
      </c>
      <c r="J23" s="35">
        <f t="shared" si="0"/>
        <v>1176</v>
      </c>
    </row>
    <row r="24" ht="16.5" spans="1:10">
      <c r="A24" s="28"/>
      <c r="B24" s="29"/>
      <c r="C24" s="29"/>
      <c r="D24" s="73"/>
      <c r="E24" s="29"/>
      <c r="F24" s="94" t="s">
        <v>117</v>
      </c>
      <c r="G24" s="35" t="s">
        <v>79</v>
      </c>
      <c r="H24" s="35">
        <v>7000</v>
      </c>
      <c r="I24" s="35">
        <v>0.24</v>
      </c>
      <c r="J24" s="35">
        <f t="shared" si="0"/>
        <v>1680</v>
      </c>
    </row>
    <row r="25" ht="16.5" spans="1:10">
      <c r="A25" s="28"/>
      <c r="B25" s="29"/>
      <c r="C25" s="29"/>
      <c r="D25" s="73"/>
      <c r="E25" s="29"/>
      <c r="F25" s="94"/>
      <c r="G25" s="35" t="s">
        <v>118</v>
      </c>
      <c r="H25" s="35">
        <v>7000</v>
      </c>
      <c r="I25" s="35">
        <v>0.22</v>
      </c>
      <c r="J25" s="35">
        <f t="shared" si="0"/>
        <v>1540</v>
      </c>
    </row>
    <row r="26" ht="16.5" spans="1:10">
      <c r="A26" s="28"/>
      <c r="B26" s="29"/>
      <c r="C26" s="29"/>
      <c r="D26" s="73"/>
      <c r="E26" s="29"/>
      <c r="F26" s="94"/>
      <c r="G26" s="34" t="s">
        <v>22</v>
      </c>
      <c r="H26" s="35">
        <v>7000</v>
      </c>
      <c r="I26" s="34">
        <v>0.11</v>
      </c>
      <c r="J26" s="35">
        <f t="shared" si="0"/>
        <v>770</v>
      </c>
    </row>
    <row r="27" ht="16.5" spans="1:10">
      <c r="A27" s="28">
        <v>45944</v>
      </c>
      <c r="B27" s="29" t="s">
        <v>39</v>
      </c>
      <c r="C27" s="65" t="s">
        <v>109</v>
      </c>
      <c r="D27" s="73" t="s">
        <v>124</v>
      </c>
      <c r="E27" s="29" t="s">
        <v>125</v>
      </c>
      <c r="F27" s="89" t="s">
        <v>126</v>
      </c>
      <c r="G27" s="35" t="s">
        <v>113</v>
      </c>
      <c r="H27" s="35">
        <v>210</v>
      </c>
      <c r="I27" s="35">
        <v>0.85</v>
      </c>
      <c r="J27" s="35">
        <f t="shared" ref="J27:J69" si="1">H27*I27</f>
        <v>178.5</v>
      </c>
    </row>
    <row r="28" ht="16.5" spans="1:10">
      <c r="A28" s="28"/>
      <c r="B28" s="29"/>
      <c r="C28" s="29"/>
      <c r="D28" s="73"/>
      <c r="E28" s="29"/>
      <c r="F28" s="89"/>
      <c r="G28" s="35" t="s">
        <v>114</v>
      </c>
      <c r="H28" s="35">
        <v>2</v>
      </c>
      <c r="I28" s="35">
        <v>0</v>
      </c>
      <c r="J28" s="35">
        <f t="shared" si="1"/>
        <v>0</v>
      </c>
    </row>
    <row r="29" ht="16.5" spans="1:10">
      <c r="A29" s="28"/>
      <c r="B29" s="29"/>
      <c r="C29" s="29"/>
      <c r="D29" s="73"/>
      <c r="E29" s="29"/>
      <c r="F29" s="89"/>
      <c r="G29" s="35" t="s">
        <v>116</v>
      </c>
      <c r="H29" s="35">
        <v>153</v>
      </c>
      <c r="I29" s="35">
        <v>0.15</v>
      </c>
      <c r="J29" s="35">
        <f t="shared" si="1"/>
        <v>22.95</v>
      </c>
    </row>
    <row r="30" ht="16.5" spans="1:10">
      <c r="A30" s="28"/>
      <c r="B30" s="29"/>
      <c r="C30" s="29"/>
      <c r="D30" s="73"/>
      <c r="E30" s="29"/>
      <c r="F30" s="89"/>
      <c r="G30" s="34" t="s">
        <v>107</v>
      </c>
      <c r="H30" s="35">
        <f>153</f>
        <v>153</v>
      </c>
      <c r="I30" s="34">
        <f>0.042*4</f>
        <v>0.168</v>
      </c>
      <c r="J30" s="35">
        <f t="shared" si="1"/>
        <v>25.704</v>
      </c>
    </row>
    <row r="31" ht="16.5" spans="1:10">
      <c r="A31" s="28"/>
      <c r="B31" s="29"/>
      <c r="C31" s="29"/>
      <c r="D31" s="73"/>
      <c r="E31" s="29"/>
      <c r="F31" s="89"/>
      <c r="G31" s="35" t="s">
        <v>79</v>
      </c>
      <c r="H31" s="35">
        <v>153</v>
      </c>
      <c r="I31" s="35">
        <v>0.24</v>
      </c>
      <c r="J31" s="35">
        <f t="shared" si="1"/>
        <v>36.72</v>
      </c>
    </row>
    <row r="32" ht="16.5" spans="1:10">
      <c r="A32" s="28"/>
      <c r="B32" s="29"/>
      <c r="C32" s="29"/>
      <c r="D32" s="73"/>
      <c r="E32" s="29"/>
      <c r="F32" s="89"/>
      <c r="G32" s="35" t="s">
        <v>118</v>
      </c>
      <c r="H32" s="35">
        <v>153</v>
      </c>
      <c r="I32" s="35">
        <v>0.22</v>
      </c>
      <c r="J32" s="35">
        <f t="shared" si="1"/>
        <v>33.66</v>
      </c>
    </row>
    <row r="33" ht="16.5" spans="1:11">
      <c r="A33" s="28">
        <v>45944</v>
      </c>
      <c r="B33" s="29" t="s">
        <v>39</v>
      </c>
      <c r="C33" s="65" t="s">
        <v>102</v>
      </c>
      <c r="D33" s="73" t="s">
        <v>127</v>
      </c>
      <c r="E33" s="29" t="s">
        <v>128</v>
      </c>
      <c r="F33" s="89" t="s">
        <v>126</v>
      </c>
      <c r="G33" s="35" t="s">
        <v>129</v>
      </c>
      <c r="H33" s="35">
        <v>211</v>
      </c>
      <c r="I33" s="34">
        <v>1.07</v>
      </c>
      <c r="J33" s="35">
        <f t="shared" si="1"/>
        <v>225.77</v>
      </c>
    </row>
    <row r="34" ht="16.5" spans="1:11">
      <c r="A34" s="28"/>
      <c r="B34" s="29"/>
      <c r="C34" s="29"/>
      <c r="D34" s="73"/>
      <c r="E34" s="29"/>
      <c r="F34" s="89"/>
      <c r="G34" s="35" t="s">
        <v>82</v>
      </c>
      <c r="H34" s="35">
        <v>2</v>
      </c>
      <c r="I34" s="34">
        <v>0</v>
      </c>
      <c r="J34" s="35">
        <f t="shared" si="1"/>
        <v>0</v>
      </c>
      <c r="K34" s="104"/>
    </row>
    <row r="35" ht="16.5" spans="1:11">
      <c r="A35" s="89">
        <v>45952</v>
      </c>
      <c r="B35" s="65" t="s">
        <v>39</v>
      </c>
      <c r="C35" s="65">
        <v>40381</v>
      </c>
      <c r="D35" s="66" t="s">
        <v>130</v>
      </c>
      <c r="E35" s="65" t="s">
        <v>131</v>
      </c>
      <c r="F35" s="89" t="s">
        <v>132</v>
      </c>
      <c r="G35" s="35" t="s">
        <v>116</v>
      </c>
      <c r="H35" s="35">
        <v>473</v>
      </c>
      <c r="I35" s="35">
        <v>0.15</v>
      </c>
      <c r="J35" s="35">
        <f t="shared" si="1"/>
        <v>70.95</v>
      </c>
    </row>
    <row r="36" ht="16.5" spans="1:11">
      <c r="A36" s="89"/>
      <c r="B36" s="65"/>
      <c r="C36" s="65"/>
      <c r="D36" s="66"/>
      <c r="E36" s="65"/>
      <c r="F36" s="89"/>
      <c r="G36" s="35" t="s">
        <v>133</v>
      </c>
      <c r="H36" s="35">
        <v>473</v>
      </c>
      <c r="I36" s="35">
        <v>0.042</v>
      </c>
      <c r="J36" s="35">
        <f t="shared" si="1"/>
        <v>19.866</v>
      </c>
    </row>
    <row r="37" ht="16.5" spans="1:11">
      <c r="A37" s="89"/>
      <c r="B37" s="65"/>
      <c r="C37" s="65"/>
      <c r="D37" s="66"/>
      <c r="E37" s="65"/>
      <c r="F37" s="89" t="s">
        <v>134</v>
      </c>
      <c r="G37" s="35" t="s">
        <v>79</v>
      </c>
      <c r="H37" s="35">
        <v>473</v>
      </c>
      <c r="I37" s="35">
        <v>0.24</v>
      </c>
      <c r="J37" s="35">
        <f t="shared" si="1"/>
        <v>113.52</v>
      </c>
    </row>
    <row r="38" ht="16.5" spans="1:11">
      <c r="A38" s="89"/>
      <c r="B38" s="65"/>
      <c r="C38" s="65"/>
      <c r="D38" s="66"/>
      <c r="E38" s="65"/>
      <c r="F38" s="89"/>
      <c r="G38" s="35" t="s">
        <v>118</v>
      </c>
      <c r="H38" s="35">
        <v>473</v>
      </c>
      <c r="I38" s="35">
        <v>0.22</v>
      </c>
      <c r="J38" s="35">
        <f t="shared" si="1"/>
        <v>104.06</v>
      </c>
    </row>
    <row r="39" ht="16.5" spans="1:11">
      <c r="A39" s="28">
        <v>45952</v>
      </c>
      <c r="B39" s="29" t="s">
        <v>39</v>
      </c>
      <c r="C39" s="65" t="s">
        <v>135</v>
      </c>
      <c r="D39" s="73" t="s">
        <v>136</v>
      </c>
      <c r="E39" s="29" t="s">
        <v>137</v>
      </c>
      <c r="F39" s="89" t="s">
        <v>138</v>
      </c>
      <c r="G39" s="35" t="s">
        <v>139</v>
      </c>
      <c r="H39" s="35">
        <f>21000*1.03</f>
        <v>21630</v>
      </c>
      <c r="I39" s="35">
        <v>0.85</v>
      </c>
      <c r="J39" s="35">
        <f t="shared" si="1"/>
        <v>18385.5</v>
      </c>
    </row>
    <row r="40" ht="16.5" spans="1:11">
      <c r="A40" s="28"/>
      <c r="B40" s="29"/>
      <c r="C40" s="29"/>
      <c r="D40" s="73"/>
      <c r="E40" s="29"/>
      <c r="F40" s="89"/>
      <c r="G40" s="35" t="s">
        <v>114</v>
      </c>
      <c r="H40" s="35">
        <f>21000*0.01</f>
        <v>210</v>
      </c>
      <c r="I40" s="35">
        <v>0</v>
      </c>
      <c r="J40" s="35">
        <f t="shared" si="1"/>
        <v>0</v>
      </c>
    </row>
    <row r="41" ht="16.5" spans="1:11">
      <c r="A41" s="28"/>
      <c r="B41" s="29"/>
      <c r="C41" s="29"/>
      <c r="D41" s="73"/>
      <c r="E41" s="29"/>
      <c r="F41" s="89"/>
      <c r="G41" s="35" t="s">
        <v>116</v>
      </c>
      <c r="H41" s="35">
        <v>20374</v>
      </c>
      <c r="I41" s="35">
        <v>0.15</v>
      </c>
      <c r="J41" s="35">
        <f t="shared" si="1"/>
        <v>3056.1</v>
      </c>
    </row>
    <row r="42" ht="16.5" spans="1:11">
      <c r="A42" s="28"/>
      <c r="B42" s="29"/>
      <c r="C42" s="29"/>
      <c r="D42" s="73"/>
      <c r="E42" s="29"/>
      <c r="F42" s="89" t="s">
        <v>134</v>
      </c>
      <c r="G42" s="34" t="s">
        <v>107</v>
      </c>
      <c r="H42" s="35">
        <f>21000</f>
        <v>21000</v>
      </c>
      <c r="I42" s="34">
        <f>0.042*4</f>
        <v>0.168</v>
      </c>
      <c r="J42" s="35">
        <f t="shared" si="1"/>
        <v>3528</v>
      </c>
    </row>
    <row r="43" ht="16.5" spans="1:11">
      <c r="A43" s="28"/>
      <c r="B43" s="29"/>
      <c r="C43" s="29"/>
      <c r="D43" s="73"/>
      <c r="E43" s="29"/>
      <c r="F43" s="89" t="s">
        <v>140</v>
      </c>
      <c r="G43" s="35" t="s">
        <v>116</v>
      </c>
      <c r="H43" s="35">
        <v>3046</v>
      </c>
      <c r="I43" s="35">
        <v>0.15</v>
      </c>
      <c r="J43" s="35">
        <f t="shared" si="1"/>
        <v>456.9</v>
      </c>
    </row>
    <row r="44" ht="16.5" spans="1:11">
      <c r="A44" s="28"/>
      <c r="B44" s="29"/>
      <c r="C44" s="29"/>
      <c r="D44" s="73"/>
      <c r="E44" s="29"/>
      <c r="F44" s="89"/>
      <c r="G44" s="35" t="s">
        <v>113</v>
      </c>
      <c r="H44" s="35">
        <v>4445</v>
      </c>
      <c r="I44" s="35">
        <v>0.85</v>
      </c>
      <c r="J44" s="35">
        <f t="shared" si="1"/>
        <v>3778.25</v>
      </c>
    </row>
    <row r="45" ht="16.5" spans="1:11">
      <c r="A45" s="28"/>
      <c r="B45" s="29"/>
      <c r="C45" s="29"/>
      <c r="D45" s="73"/>
      <c r="E45" s="29"/>
      <c r="F45" s="89"/>
      <c r="G45" s="35" t="s">
        <v>114</v>
      </c>
      <c r="H45" s="35">
        <v>45</v>
      </c>
      <c r="I45" s="35">
        <v>0</v>
      </c>
      <c r="J45" s="35">
        <f t="shared" si="1"/>
        <v>0</v>
      </c>
    </row>
    <row r="46" ht="16.5" spans="1:11">
      <c r="A46" s="28"/>
      <c r="B46" s="29"/>
      <c r="C46" s="29"/>
      <c r="D46" s="73"/>
      <c r="E46" s="29"/>
      <c r="F46" s="89"/>
      <c r="G46" s="34" t="s">
        <v>107</v>
      </c>
      <c r="H46" s="35">
        <f>2464</f>
        <v>2464</v>
      </c>
      <c r="I46" s="34">
        <f>0.042*4</f>
        <v>0.168</v>
      </c>
      <c r="J46" s="35">
        <f t="shared" si="1"/>
        <v>413.952</v>
      </c>
    </row>
    <row r="47" ht="16.5" spans="1:11">
      <c r="A47" s="28"/>
      <c r="B47" s="29"/>
      <c r="C47" s="29"/>
      <c r="D47" s="73"/>
      <c r="E47" s="29"/>
      <c r="F47" s="62" t="s">
        <v>141</v>
      </c>
      <c r="G47" s="35" t="s">
        <v>79</v>
      </c>
      <c r="H47" s="35">
        <v>23477</v>
      </c>
      <c r="I47" s="35">
        <v>0.24</v>
      </c>
      <c r="J47" s="35">
        <f t="shared" si="1"/>
        <v>5634.48</v>
      </c>
    </row>
    <row r="48" ht="16.5" spans="1:11">
      <c r="A48" s="28"/>
      <c r="B48" s="29"/>
      <c r="C48" s="29"/>
      <c r="D48" s="73"/>
      <c r="E48" s="29"/>
      <c r="F48" s="62"/>
      <c r="G48" s="34" t="s">
        <v>22</v>
      </c>
      <c r="H48" s="35">
        <v>23477</v>
      </c>
      <c r="I48" s="34">
        <v>0.11</v>
      </c>
      <c r="J48" s="35">
        <f t="shared" si="1"/>
        <v>2582.47</v>
      </c>
    </row>
    <row r="49" ht="16.5" spans="1:10">
      <c r="A49" s="28"/>
      <c r="B49" s="29"/>
      <c r="C49" s="29"/>
      <c r="D49" s="73"/>
      <c r="E49" s="29"/>
      <c r="F49" s="62"/>
      <c r="G49" s="35" t="s">
        <v>118</v>
      </c>
      <c r="H49" s="35">
        <v>23477</v>
      </c>
      <c r="I49" s="35">
        <v>0.22</v>
      </c>
      <c r="J49" s="35">
        <f t="shared" si="1"/>
        <v>5164.94</v>
      </c>
    </row>
    <row r="50" ht="16.5" spans="1:10">
      <c r="A50" s="28"/>
      <c r="B50" s="29"/>
      <c r="C50" s="29"/>
      <c r="D50" s="73"/>
      <c r="E50" s="29"/>
      <c r="F50" s="62"/>
      <c r="G50" s="35" t="s">
        <v>142</v>
      </c>
      <c r="H50" s="35">
        <f>180+160+120+175+100+145</f>
        <v>880</v>
      </c>
      <c r="I50" s="35">
        <v>0.24</v>
      </c>
      <c r="J50" s="35">
        <f t="shared" si="1"/>
        <v>211.2</v>
      </c>
    </row>
    <row r="51" ht="16.5" spans="1:10">
      <c r="A51" s="28">
        <v>45993</v>
      </c>
      <c r="B51" s="29" t="s">
        <v>39</v>
      </c>
      <c r="C51" s="65" t="s">
        <v>189</v>
      </c>
      <c r="D51" s="73" t="s">
        <v>190</v>
      </c>
      <c r="E51" s="29" t="s">
        <v>191</v>
      </c>
      <c r="F51" s="89" t="s">
        <v>192</v>
      </c>
      <c r="G51" s="35" t="s">
        <v>139</v>
      </c>
      <c r="H51" s="35">
        <v>6180</v>
      </c>
      <c r="I51" s="35">
        <v>0.85</v>
      </c>
      <c r="J51" s="35">
        <f t="shared" si="1"/>
        <v>5253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60</v>
      </c>
      <c r="I52" s="35">
        <v>0</v>
      </c>
      <c r="J52" s="35">
        <f t="shared" si="1"/>
        <v>0</v>
      </c>
    </row>
    <row r="53" ht="16.5" spans="1:10">
      <c r="A53" s="28"/>
      <c r="B53" s="29"/>
      <c r="C53" s="29"/>
      <c r="D53" s="73"/>
      <c r="E53" s="29"/>
      <c r="F53" s="89"/>
      <c r="G53" s="35" t="s">
        <v>116</v>
      </c>
      <c r="H53" s="35">
        <v>6000</v>
      </c>
      <c r="I53" s="35">
        <v>0.15</v>
      </c>
      <c r="J53" s="35">
        <f t="shared" si="1"/>
        <v>900</v>
      </c>
    </row>
    <row r="54" ht="16.5" spans="1:10">
      <c r="A54" s="28"/>
      <c r="B54" s="29"/>
      <c r="C54" s="29"/>
      <c r="D54" s="73"/>
      <c r="E54" s="29"/>
      <c r="F54" s="89" t="s">
        <v>193</v>
      </c>
      <c r="G54" s="34" t="s">
        <v>107</v>
      </c>
      <c r="H54" s="35">
        <v>6000</v>
      </c>
      <c r="I54" s="35">
        <f>0.042*4</f>
        <v>0.168</v>
      </c>
      <c r="J54" s="35">
        <f t="shared" si="1"/>
        <v>1008</v>
      </c>
    </row>
    <row r="55" ht="16.5" spans="1:10">
      <c r="A55" s="28"/>
      <c r="B55" s="29"/>
      <c r="C55" s="29"/>
      <c r="D55" s="73"/>
      <c r="E55" s="29"/>
      <c r="F55" s="62" t="s">
        <v>194</v>
      </c>
      <c r="G55" s="35" t="s">
        <v>79</v>
      </c>
      <c r="H55" s="35">
        <v>6000</v>
      </c>
      <c r="I55" s="35">
        <v>0.24</v>
      </c>
      <c r="J55" s="35">
        <f t="shared" si="1"/>
        <v>1440</v>
      </c>
    </row>
    <row r="56" ht="16.5" spans="1:10">
      <c r="A56" s="28"/>
      <c r="B56" s="29"/>
      <c r="C56" s="29"/>
      <c r="D56" s="73"/>
      <c r="E56" s="29"/>
      <c r="F56" s="62"/>
      <c r="G56" s="34" t="s">
        <v>22</v>
      </c>
      <c r="H56" s="35">
        <v>6000</v>
      </c>
      <c r="I56" s="34">
        <v>0.11</v>
      </c>
      <c r="J56" s="35">
        <f t="shared" si="1"/>
        <v>660</v>
      </c>
    </row>
    <row r="57" ht="16.5" spans="1:10">
      <c r="A57" s="28"/>
      <c r="B57" s="29"/>
      <c r="C57" s="29"/>
      <c r="D57" s="73"/>
      <c r="E57" s="29"/>
      <c r="F57" s="62"/>
      <c r="G57" s="35" t="s">
        <v>118</v>
      </c>
      <c r="H57" s="35">
        <v>6000</v>
      </c>
      <c r="I57" s="35">
        <v>0.22</v>
      </c>
      <c r="J57" s="35">
        <f t="shared" si="1"/>
        <v>1320</v>
      </c>
    </row>
    <row r="58" ht="16.5" spans="1:10">
      <c r="A58" s="28">
        <v>45999</v>
      </c>
      <c r="B58" s="29" t="s">
        <v>39</v>
      </c>
      <c r="C58" s="65" t="s">
        <v>195</v>
      </c>
      <c r="D58" s="73" t="s">
        <v>196</v>
      </c>
      <c r="E58" s="29" t="s">
        <v>197</v>
      </c>
      <c r="F58" s="89" t="s">
        <v>198</v>
      </c>
      <c r="G58" s="35" t="s">
        <v>113</v>
      </c>
      <c r="H58" s="35">
        <v>5000</v>
      </c>
      <c r="I58" s="35">
        <v>0.85</v>
      </c>
      <c r="J58" s="35">
        <f t="shared" si="1"/>
        <v>4250</v>
      </c>
    </row>
    <row r="59" ht="16.5" spans="1:10">
      <c r="A59" s="28"/>
      <c r="B59" s="29"/>
      <c r="C59" s="29"/>
      <c r="D59" s="73"/>
      <c r="E59" s="29"/>
      <c r="F59" s="89"/>
      <c r="G59" s="35" t="s">
        <v>114</v>
      </c>
      <c r="H59" s="35">
        <v>50</v>
      </c>
      <c r="I59" s="35">
        <v>0</v>
      </c>
      <c r="J59" s="35">
        <f t="shared" si="1"/>
        <v>0</v>
      </c>
    </row>
    <row r="60" ht="16.5" spans="1:10">
      <c r="A60" s="28"/>
      <c r="B60" s="29"/>
      <c r="C60" s="29"/>
      <c r="D60" s="73"/>
      <c r="E60" s="29"/>
      <c r="F60" s="89" t="s">
        <v>187</v>
      </c>
      <c r="G60" s="35" t="s">
        <v>116</v>
      </c>
      <c r="H60" s="35">
        <v>6000</v>
      </c>
      <c r="I60" s="35">
        <v>0.15</v>
      </c>
      <c r="J60" s="35">
        <f t="shared" si="1"/>
        <v>900</v>
      </c>
    </row>
    <row r="61" ht="16.5" spans="1:10">
      <c r="A61" s="28"/>
      <c r="B61" s="29"/>
      <c r="C61" s="29"/>
      <c r="D61" s="73"/>
      <c r="E61" s="29"/>
      <c r="F61" s="89"/>
      <c r="G61" s="34" t="s">
        <v>107</v>
      </c>
      <c r="H61" s="35">
        <v>6000</v>
      </c>
      <c r="I61" s="35">
        <f>0.042*4</f>
        <v>0.168</v>
      </c>
      <c r="J61" s="35">
        <f t="shared" si="1"/>
        <v>1008</v>
      </c>
    </row>
    <row r="62" ht="16.5" spans="1:10">
      <c r="A62" s="28"/>
      <c r="B62" s="29"/>
      <c r="C62" s="29"/>
      <c r="D62" s="73"/>
      <c r="E62" s="29"/>
      <c r="F62" s="62" t="s">
        <v>199</v>
      </c>
      <c r="G62" s="35" t="s">
        <v>79</v>
      </c>
      <c r="H62" s="35">
        <v>6000</v>
      </c>
      <c r="I62" s="35">
        <v>0.24</v>
      </c>
      <c r="J62" s="35">
        <f t="shared" si="1"/>
        <v>1440</v>
      </c>
    </row>
    <row r="63" ht="16.5" spans="1:10">
      <c r="A63" s="28"/>
      <c r="B63" s="29"/>
      <c r="C63" s="29"/>
      <c r="D63" s="73"/>
      <c r="E63" s="29"/>
      <c r="F63" s="62"/>
      <c r="G63" s="34" t="s">
        <v>22</v>
      </c>
      <c r="H63" s="35">
        <v>6000</v>
      </c>
      <c r="I63" s="34">
        <v>0.11</v>
      </c>
      <c r="J63" s="35">
        <f t="shared" si="1"/>
        <v>660</v>
      </c>
    </row>
    <row r="64" ht="16.5" spans="1:10">
      <c r="A64" s="28"/>
      <c r="B64" s="29"/>
      <c r="C64" s="29"/>
      <c r="D64" s="73"/>
      <c r="E64" s="29"/>
      <c r="F64" s="62"/>
      <c r="G64" s="35" t="s">
        <v>118</v>
      </c>
      <c r="H64" s="35">
        <v>6000</v>
      </c>
      <c r="I64" s="35">
        <v>0.22</v>
      </c>
      <c r="J64" s="35">
        <f t="shared" si="1"/>
        <v>1320</v>
      </c>
    </row>
    <row r="65" ht="16.5" spans="1:10">
      <c r="A65" s="89">
        <v>46010</v>
      </c>
      <c r="B65" s="65" t="s">
        <v>39</v>
      </c>
      <c r="C65" s="65">
        <v>44896</v>
      </c>
      <c r="D65" s="66" t="s">
        <v>210</v>
      </c>
      <c r="E65" s="65" t="s">
        <v>211</v>
      </c>
      <c r="F65" s="89" t="s">
        <v>212</v>
      </c>
      <c r="G65" s="35" t="s">
        <v>169</v>
      </c>
      <c r="H65" s="35">
        <v>10000</v>
      </c>
      <c r="I65" s="35">
        <v>0.85</v>
      </c>
      <c r="J65" s="105">
        <f t="shared" si="1"/>
        <v>8500</v>
      </c>
    </row>
    <row r="66" ht="16.5" spans="1:10">
      <c r="A66" s="89"/>
      <c r="B66" s="65"/>
      <c r="C66" s="65"/>
      <c r="D66" s="66"/>
      <c r="E66" s="65"/>
      <c r="F66" s="89"/>
      <c r="G66" s="35" t="s">
        <v>170</v>
      </c>
      <c r="H66" s="35">
        <v>100</v>
      </c>
      <c r="I66" s="35">
        <v>0</v>
      </c>
      <c r="J66" s="105">
        <f t="shared" si="1"/>
        <v>0</v>
      </c>
    </row>
    <row r="67" ht="16.5" spans="1:10">
      <c r="A67" s="89"/>
      <c r="B67" s="65"/>
      <c r="C67" s="65"/>
      <c r="D67" s="66"/>
      <c r="E67" s="65"/>
      <c r="F67" s="89"/>
      <c r="G67" s="35" t="s">
        <v>171</v>
      </c>
      <c r="H67" s="35">
        <v>35</v>
      </c>
      <c r="I67" s="35">
        <v>0</v>
      </c>
      <c r="J67" s="105">
        <f t="shared" si="1"/>
        <v>0</v>
      </c>
    </row>
    <row r="68" ht="16.5" spans="1:10">
      <c r="A68" s="89"/>
      <c r="B68" s="65"/>
      <c r="C68" s="65"/>
      <c r="D68" s="66"/>
      <c r="E68" s="65"/>
      <c r="F68" s="89" t="s">
        <v>213</v>
      </c>
      <c r="G68" s="35" t="s">
        <v>38</v>
      </c>
      <c r="H68" s="35">
        <v>10000</v>
      </c>
      <c r="I68" s="35">
        <f>0.042*7</f>
        <v>0.294</v>
      </c>
      <c r="J68" s="105">
        <f t="shared" si="1"/>
        <v>2940</v>
      </c>
    </row>
    <row r="69" ht="16.5" spans="1:10">
      <c r="A69" s="89"/>
      <c r="B69" s="65"/>
      <c r="C69" s="65"/>
      <c r="D69" s="66"/>
      <c r="E69" s="65"/>
      <c r="F69" s="89"/>
      <c r="G69" s="35" t="s">
        <v>182</v>
      </c>
      <c r="H69" s="35">
        <v>10000</v>
      </c>
      <c r="I69" s="35">
        <v>0.027</v>
      </c>
      <c r="J69" s="105">
        <f t="shared" si="1"/>
        <v>270</v>
      </c>
    </row>
    <row r="70" ht="16.5" spans="1:10">
      <c r="A70" s="89"/>
      <c r="B70" s="65"/>
      <c r="C70" s="65"/>
      <c r="D70" s="66"/>
      <c r="E70" s="65"/>
      <c r="F70" s="89" t="s">
        <v>212</v>
      </c>
      <c r="G70" s="35" t="s">
        <v>188</v>
      </c>
      <c r="H70" s="35">
        <v>10000</v>
      </c>
      <c r="I70" s="35">
        <v>0.24</v>
      </c>
      <c r="J70" s="105">
        <f t="shared" ref="J70:J77" si="2">H70*I70</f>
        <v>2400</v>
      </c>
    </row>
    <row r="71" ht="16.5" spans="1:10">
      <c r="A71" s="89"/>
      <c r="B71" s="65"/>
      <c r="C71" s="65"/>
      <c r="D71" s="66"/>
      <c r="E71" s="65"/>
      <c r="F71" s="89"/>
      <c r="G71" s="35" t="s">
        <v>65</v>
      </c>
      <c r="H71" s="35">
        <v>10000</v>
      </c>
      <c r="I71" s="35">
        <v>0.11</v>
      </c>
      <c r="J71" s="105">
        <f t="shared" si="2"/>
        <v>1100</v>
      </c>
    </row>
    <row r="72" ht="16.5" spans="1:10">
      <c r="A72" s="89">
        <v>46030</v>
      </c>
      <c r="B72" s="65" t="s">
        <v>39</v>
      </c>
      <c r="C72" s="65">
        <v>44896</v>
      </c>
      <c r="D72" s="66" t="s">
        <v>232</v>
      </c>
      <c r="E72" s="65" t="s">
        <v>233</v>
      </c>
      <c r="F72" s="89" t="s">
        <v>234</v>
      </c>
      <c r="G72" s="35" t="s">
        <v>169</v>
      </c>
      <c r="H72" s="35">
        <v>877</v>
      </c>
      <c r="I72" s="35">
        <v>0.85</v>
      </c>
      <c r="J72" s="105">
        <f t="shared" si="2"/>
        <v>745.45</v>
      </c>
    </row>
    <row r="73" ht="16.5" spans="1:10">
      <c r="A73" s="89"/>
      <c r="B73" s="65"/>
      <c r="C73" s="65"/>
      <c r="D73" s="66"/>
      <c r="E73" s="65"/>
      <c r="F73" s="89"/>
      <c r="G73" s="35" t="s">
        <v>170</v>
      </c>
      <c r="H73" s="35">
        <v>9</v>
      </c>
      <c r="I73" s="35">
        <v>0</v>
      </c>
      <c r="J73" s="105">
        <f t="shared" si="2"/>
        <v>0</v>
      </c>
    </row>
    <row r="74" ht="16.5" spans="1:10">
      <c r="A74" s="89"/>
      <c r="B74" s="65"/>
      <c r="C74" s="65"/>
      <c r="D74" s="66"/>
      <c r="E74" s="65"/>
      <c r="F74" s="89" t="s">
        <v>235</v>
      </c>
      <c r="G74" s="35" t="s">
        <v>38</v>
      </c>
      <c r="H74" s="35">
        <f>478</f>
        <v>478</v>
      </c>
      <c r="I74" s="35">
        <f>0.042*7</f>
        <v>0.294</v>
      </c>
      <c r="J74" s="105">
        <f t="shared" si="2"/>
        <v>140.532</v>
      </c>
    </row>
    <row r="75" ht="16.5" spans="1:10">
      <c r="A75" s="89"/>
      <c r="B75" s="65"/>
      <c r="C75" s="65"/>
      <c r="D75" s="66"/>
      <c r="E75" s="65"/>
      <c r="F75" s="89"/>
      <c r="G75" s="35" t="s">
        <v>182</v>
      </c>
      <c r="H75" s="35">
        <v>478</v>
      </c>
      <c r="I75" s="35">
        <v>0.027</v>
      </c>
      <c r="J75" s="105">
        <f t="shared" si="2"/>
        <v>12.906</v>
      </c>
    </row>
    <row r="76" ht="16.5" spans="1:10">
      <c r="A76" s="89"/>
      <c r="B76" s="65"/>
      <c r="C76" s="65"/>
      <c r="D76" s="66"/>
      <c r="E76" s="65"/>
      <c r="F76" s="89" t="s">
        <v>236</v>
      </c>
      <c r="G76" s="35" t="s">
        <v>188</v>
      </c>
      <c r="H76" s="35">
        <v>478</v>
      </c>
      <c r="I76" s="35">
        <v>0.24</v>
      </c>
      <c r="J76" s="105">
        <f t="shared" si="2"/>
        <v>114.72</v>
      </c>
    </row>
    <row r="77" ht="16.5" spans="1:10">
      <c r="A77" s="89"/>
      <c r="B77" s="65"/>
      <c r="C77" s="65"/>
      <c r="D77" s="66"/>
      <c r="E77" s="65"/>
      <c r="F77" s="89"/>
      <c r="G77" s="35" t="s">
        <v>65</v>
      </c>
      <c r="H77" s="35">
        <v>478</v>
      </c>
      <c r="I77" s="35">
        <v>0.11</v>
      </c>
      <c r="J77" s="105">
        <f t="shared" si="2"/>
        <v>52.58</v>
      </c>
    </row>
    <row r="78" ht="16.5" spans="1:10">
      <c r="I78" s="106"/>
      <c r="J78" s="107">
        <f>SUM(J3:J77)</f>
        <v>110736.39</v>
      </c>
    </row>
    <row r="79" ht="16.5" spans="1:10">
      <c r="I79" s="108" t="s">
        <v>237</v>
      </c>
      <c r="J79" s="109">
        <v>-2.73</v>
      </c>
    </row>
    <row r="80" ht="16.5" spans="1:10">
      <c r="I80" s="108" t="s">
        <v>238</v>
      </c>
      <c r="J80" s="109">
        <v>-10250.934</v>
      </c>
    </row>
    <row r="81" ht="16.5" spans="1:10">
      <c r="I81" s="106"/>
      <c r="J81" s="110">
        <f>J78+J79+J80</f>
        <v>100482.726</v>
      </c>
    </row>
    <row r="85" spans="1:10">
      <c r="C85"/>
      <c r="F85"/>
      <c r="J85"/>
    </row>
    <row r="86" ht="28.5" spans="1:10">
      <c r="A86" s="49" t="s">
        <v>143</v>
      </c>
      <c r="B86" s="49"/>
      <c r="C86" s="49"/>
      <c r="D86" s="49"/>
      <c r="E86" s="49"/>
      <c r="F86" s="49"/>
      <c r="G86" s="49"/>
      <c r="H86" s="49"/>
      <c r="I86" s="49"/>
      <c r="J86" s="49"/>
    </row>
    <row r="87" ht="14.5" spans="1:10">
      <c r="A87" s="50" t="s">
        <v>144</v>
      </c>
      <c r="B87" s="50" t="s">
        <v>145</v>
      </c>
      <c r="C87" s="50" t="s">
        <v>146</v>
      </c>
      <c r="D87" s="50" t="s">
        <v>147</v>
      </c>
      <c r="E87" s="50" t="s">
        <v>148</v>
      </c>
      <c r="F87" s="51" t="s">
        <v>149</v>
      </c>
      <c r="G87" s="50" t="s">
        <v>150</v>
      </c>
      <c r="H87" s="50" t="s">
        <v>151</v>
      </c>
      <c r="I87" s="50" t="s">
        <v>152</v>
      </c>
      <c r="J87" s="50" t="s">
        <v>153</v>
      </c>
    </row>
    <row r="88" ht="28.5" spans="1:10">
      <c r="A88" s="50"/>
      <c r="B88" s="50"/>
      <c r="C88" s="50"/>
      <c r="D88" s="50" t="s">
        <v>154</v>
      </c>
      <c r="E88" s="50"/>
      <c r="F88" s="51" t="s">
        <v>155</v>
      </c>
      <c r="G88" s="50"/>
      <c r="H88" s="50"/>
      <c r="I88" s="52" t="s">
        <v>156</v>
      </c>
      <c r="J88" s="50"/>
    </row>
    <row r="89" spans="1:10">
      <c r="A89" s="111">
        <v>1</v>
      </c>
      <c r="B89" s="112">
        <v>46062</v>
      </c>
      <c r="C89" s="113" t="s">
        <v>160</v>
      </c>
      <c r="D89" s="113" t="s">
        <v>219</v>
      </c>
      <c r="E89" s="113" t="s">
        <v>223</v>
      </c>
      <c r="F89" s="113"/>
      <c r="G89" s="113" t="s">
        <v>221</v>
      </c>
      <c r="H89" s="113">
        <v>10877</v>
      </c>
      <c r="I89" s="114">
        <v>16276.188</v>
      </c>
      <c r="J89" s="113"/>
    </row>
    <row r="90" spans="1:10">
      <c r="A90" s="115"/>
      <c r="B90" s="116"/>
      <c r="C90" s="117"/>
      <c r="D90" s="117"/>
      <c r="E90" s="117" t="s">
        <v>217</v>
      </c>
      <c r="F90" s="117"/>
      <c r="G90" s="117" t="s">
        <v>222</v>
      </c>
      <c r="H90" s="117">
        <v>10478</v>
      </c>
      <c r="I90" s="118"/>
      <c r="J90" s="117"/>
    </row>
    <row r="91" spans="1:10">
      <c r="A91" s="115"/>
      <c r="B91" s="116"/>
      <c r="C91" s="117"/>
      <c r="D91" s="117"/>
      <c r="E91" s="117" t="s">
        <v>239</v>
      </c>
      <c r="F91" s="117"/>
      <c r="G91" s="117" t="s">
        <v>225</v>
      </c>
      <c r="H91" s="117">
        <v>10478</v>
      </c>
      <c r="I91" s="118"/>
      <c r="J91" s="117"/>
    </row>
    <row r="92" spans="1:10">
      <c r="A92" s="115"/>
      <c r="B92" s="116"/>
      <c r="C92" s="117"/>
      <c r="D92" s="117"/>
      <c r="E92" s="117" t="s">
        <v>220</v>
      </c>
      <c r="F92" s="117"/>
      <c r="G92" s="117" t="s">
        <v>221</v>
      </c>
      <c r="H92" s="117">
        <v>10478</v>
      </c>
      <c r="I92" s="118"/>
      <c r="J92" s="117"/>
    </row>
    <row r="93" spans="1:10">
      <c r="A93" s="115"/>
      <c r="B93" s="116"/>
      <c r="C93" s="117"/>
      <c r="D93" s="117"/>
      <c r="E93" s="117" t="s">
        <v>224</v>
      </c>
      <c r="F93" s="117"/>
      <c r="G93" s="117" t="s">
        <v>225</v>
      </c>
      <c r="H93" s="117">
        <v>10478</v>
      </c>
      <c r="I93" s="118"/>
      <c r="J93" s="117"/>
    </row>
    <row r="94" spans="1:10">
      <c r="C94"/>
      <c r="F94"/>
      <c r="J94"/>
    </row>
    <row r="95" spans="1:10">
      <c r="C95"/>
      <c r="F95"/>
      <c r="J95"/>
    </row>
    <row r="96" spans="1:10">
      <c r="C96"/>
      <c r="F96"/>
      <c r="J96"/>
    </row>
  </sheetData>
  <mergeCells count="99">
    <mergeCell ref="A1:J1"/>
    <mergeCell ref="A86:J86"/>
    <mergeCell ref="A3:A6"/>
    <mergeCell ref="A8:A13"/>
    <mergeCell ref="A14:A18"/>
    <mergeCell ref="A19:A26"/>
    <mergeCell ref="A27:A32"/>
    <mergeCell ref="A33:A34"/>
    <mergeCell ref="A35:A38"/>
    <mergeCell ref="A39:A50"/>
    <mergeCell ref="A51:A57"/>
    <mergeCell ref="A58:A64"/>
    <mergeCell ref="A65:A71"/>
    <mergeCell ref="A72:A77"/>
    <mergeCell ref="A87:A88"/>
    <mergeCell ref="A89:A93"/>
    <mergeCell ref="B3:B6"/>
    <mergeCell ref="B8:B13"/>
    <mergeCell ref="B14:B18"/>
    <mergeCell ref="B19:B26"/>
    <mergeCell ref="B27:B32"/>
    <mergeCell ref="B33:B34"/>
    <mergeCell ref="B35:B38"/>
    <mergeCell ref="B39:B50"/>
    <mergeCell ref="B51:B57"/>
    <mergeCell ref="B58:B64"/>
    <mergeCell ref="B65:B71"/>
    <mergeCell ref="B72:B77"/>
    <mergeCell ref="B87:B88"/>
    <mergeCell ref="B89:B93"/>
    <mergeCell ref="C3:C6"/>
    <mergeCell ref="C8:C13"/>
    <mergeCell ref="C14:C18"/>
    <mergeCell ref="C19:C26"/>
    <mergeCell ref="C27:C32"/>
    <mergeCell ref="C33:C34"/>
    <mergeCell ref="C35:C38"/>
    <mergeCell ref="C39:C50"/>
    <mergeCell ref="C51:C57"/>
    <mergeCell ref="C58:C64"/>
    <mergeCell ref="C65:C71"/>
    <mergeCell ref="C72:C77"/>
    <mergeCell ref="C87:C88"/>
    <mergeCell ref="C89:C93"/>
    <mergeCell ref="D3:D6"/>
    <mergeCell ref="D8:D13"/>
    <mergeCell ref="D14:D18"/>
    <mergeCell ref="D19:D26"/>
    <mergeCell ref="D27:D32"/>
    <mergeCell ref="D33:D34"/>
    <mergeCell ref="D35:D38"/>
    <mergeCell ref="D39:D50"/>
    <mergeCell ref="D51:D57"/>
    <mergeCell ref="D58:D64"/>
    <mergeCell ref="D65:D71"/>
    <mergeCell ref="D72:D77"/>
    <mergeCell ref="D89:D93"/>
    <mergeCell ref="E3:E6"/>
    <mergeCell ref="E8:E13"/>
    <mergeCell ref="E14:E18"/>
    <mergeCell ref="E19:E26"/>
    <mergeCell ref="E27:E32"/>
    <mergeCell ref="E33:E34"/>
    <mergeCell ref="E35:E38"/>
    <mergeCell ref="E39:E50"/>
    <mergeCell ref="E51:E57"/>
    <mergeCell ref="E58:E64"/>
    <mergeCell ref="E65:E71"/>
    <mergeCell ref="E72:E77"/>
    <mergeCell ref="E87:E88"/>
    <mergeCell ref="F3:F6"/>
    <mergeCell ref="F8:F10"/>
    <mergeCell ref="F11:F12"/>
    <mergeCell ref="F14:F16"/>
    <mergeCell ref="F17:F18"/>
    <mergeCell ref="F19:F22"/>
    <mergeCell ref="F24:F26"/>
    <mergeCell ref="F27:F32"/>
    <mergeCell ref="F33:F34"/>
    <mergeCell ref="F35:F36"/>
    <mergeCell ref="F37:F38"/>
    <mergeCell ref="F39:F41"/>
    <mergeCell ref="F43:F46"/>
    <mergeCell ref="F47:F50"/>
    <mergeCell ref="F51:F53"/>
    <mergeCell ref="F55:F57"/>
    <mergeCell ref="F58:F59"/>
    <mergeCell ref="F60:F61"/>
    <mergeCell ref="F62:F64"/>
    <mergeCell ref="F65:F67"/>
    <mergeCell ref="F68:F69"/>
    <mergeCell ref="F70:F71"/>
    <mergeCell ref="F72:F73"/>
    <mergeCell ref="F74:F75"/>
    <mergeCell ref="F76:F77"/>
    <mergeCell ref="G87:G88"/>
    <mergeCell ref="H87:H88"/>
    <mergeCell ref="I89:I93"/>
    <mergeCell ref="J87:J8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6" workbookViewId="0">
      <selection activeCell="I38" sqref="I3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240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241</v>
      </c>
      <c r="E3" s="69" t="s">
        <v>242</v>
      </c>
      <c r="F3" s="81" t="s">
        <v>243</v>
      </c>
      <c r="G3" s="82" t="s">
        <v>244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245</v>
      </c>
      <c r="D4" s="83" t="s">
        <v>246</v>
      </c>
      <c r="E4" s="28" t="s">
        <v>247</v>
      </c>
      <c r="F4" s="28" t="s">
        <v>248</v>
      </c>
      <c r="G4" s="34" t="s">
        <v>249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250</v>
      </c>
      <c r="G5" s="34" t="s">
        <v>251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252</v>
      </c>
      <c r="D6" s="83" t="s">
        <v>253</v>
      </c>
      <c r="E6" s="28" t="s">
        <v>254</v>
      </c>
      <c r="F6" s="87" t="s">
        <v>255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256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257</v>
      </c>
      <c r="E8" s="89" t="s">
        <v>258</v>
      </c>
      <c r="F8" s="92" t="s">
        <v>259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256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260</v>
      </c>
      <c r="D10" s="73" t="s">
        <v>261</v>
      </c>
      <c r="E10" s="29" t="s">
        <v>262</v>
      </c>
      <c r="F10" s="28" t="s">
        <v>61</v>
      </c>
      <c r="G10" s="35" t="s">
        <v>79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256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263</v>
      </c>
      <c r="G12" s="34" t="s">
        <v>64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264</v>
      </c>
      <c r="E13" s="89" t="s">
        <v>265</v>
      </c>
      <c r="F13" s="89" t="s">
        <v>266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256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267</v>
      </c>
      <c r="E15" s="29" t="s">
        <v>268</v>
      </c>
      <c r="F15" s="28" t="s">
        <v>78</v>
      </c>
      <c r="G15" s="95" t="s">
        <v>269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270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271</v>
      </c>
      <c r="G17" s="95" t="s">
        <v>272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273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274</v>
      </c>
      <c r="E19" s="29" t="s">
        <v>275</v>
      </c>
      <c r="F19" s="28" t="s">
        <v>276</v>
      </c>
      <c r="G19" s="35" t="s">
        <v>277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278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279</v>
      </c>
      <c r="E21" s="29" t="s">
        <v>280</v>
      </c>
      <c r="F21" s="28" t="s">
        <v>281</v>
      </c>
      <c r="G21" s="34" t="s">
        <v>282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283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284</v>
      </c>
      <c r="E23" s="29" t="s">
        <v>285</v>
      </c>
      <c r="F23" s="28" t="s">
        <v>286</v>
      </c>
      <c r="G23" s="34" t="s">
        <v>287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288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289</v>
      </c>
      <c r="G25" s="35" t="s">
        <v>79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256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290</v>
      </c>
      <c r="D27" s="83" t="s">
        <v>291</v>
      </c>
      <c r="E27" s="28" t="s">
        <v>292</v>
      </c>
      <c r="F27" s="28">
        <v>45927</v>
      </c>
      <c r="G27" s="35" t="s">
        <v>79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293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290</v>
      </c>
      <c r="D29" s="83" t="s">
        <v>294</v>
      </c>
      <c r="E29" s="28" t="s">
        <v>295</v>
      </c>
      <c r="F29" s="28">
        <v>45937</v>
      </c>
      <c r="G29" s="35" t="s">
        <v>79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293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296</v>
      </c>
      <c r="E31" s="29" t="s">
        <v>297</v>
      </c>
      <c r="F31" s="28">
        <v>45937</v>
      </c>
      <c r="G31" s="35" t="s">
        <v>79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293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298</v>
      </c>
      <c r="E33" s="29" t="s">
        <v>299</v>
      </c>
      <c r="F33" s="28">
        <v>45942</v>
      </c>
      <c r="G33" s="35" t="s">
        <v>79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293</v>
      </c>
      <c r="H34" s="34">
        <v>69</v>
      </c>
      <c r="I34" s="95">
        <v>0</v>
      </c>
      <c r="J34" s="95">
        <v>0</v>
      </c>
    </row>
    <row r="35" ht="16.5" spans="1:10">
      <c r="A35" s="28">
        <v>45972</v>
      </c>
      <c r="B35" s="96" t="s">
        <v>39</v>
      </c>
      <c r="C35" s="90" t="s">
        <v>119</v>
      </c>
      <c r="D35" s="97" t="s">
        <v>300</v>
      </c>
      <c r="E35" s="96" t="s">
        <v>301</v>
      </c>
      <c r="F35" s="90">
        <v>45977</v>
      </c>
      <c r="G35" s="95" t="s">
        <v>302</v>
      </c>
      <c r="H35" s="95">
        <v>25000</v>
      </c>
      <c r="I35" s="85">
        <v>0.06</v>
      </c>
      <c r="J35" s="85">
        <f>H35*I35</f>
        <v>1500</v>
      </c>
    </row>
    <row r="36" ht="16.5" spans="1:10">
      <c r="A36" s="28"/>
      <c r="B36" s="96"/>
      <c r="C36" s="96"/>
      <c r="D36" s="97"/>
      <c r="E36" s="96"/>
      <c r="F36" s="90"/>
      <c r="G36" s="95" t="s">
        <v>303</v>
      </c>
      <c r="H36" s="95">
        <f>25000*0.05</f>
        <v>1250</v>
      </c>
      <c r="I36" s="85">
        <v>0</v>
      </c>
      <c r="J36" s="85">
        <f>H36*I36</f>
        <v>0</v>
      </c>
    </row>
    <row r="37" ht="16.5" spans="1:10">
      <c r="J37" s="98">
        <f>SUM(J4:J36)</f>
        <v>3826.858</v>
      </c>
    </row>
  </sheetData>
  <autoFilter xmlns:etc="http://www.wps.cn/officeDocument/2017/etCustomData" ref="A1:J37" etc:filterBottomFollowUsedRange="0">
    <extLst/>
  </autoFilter>
  <mergeCells count="85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A35:A3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B35:B3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C35:C3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D35:D3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E35:E3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  <mergeCell ref="F35:F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304</v>
      </c>
      <c r="C3" s="29" t="s">
        <v>305</v>
      </c>
      <c r="D3" s="73" t="s">
        <v>306</v>
      </c>
      <c r="E3" s="29" t="s">
        <v>307</v>
      </c>
      <c r="F3" s="67" t="s">
        <v>308</v>
      </c>
      <c r="G3" s="35" t="s">
        <v>309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63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91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79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107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304</v>
      </c>
      <c r="C9" s="29" t="s">
        <v>310</v>
      </c>
      <c r="D9" s="73" t="s">
        <v>311</v>
      </c>
      <c r="E9" s="29" t="s">
        <v>312</v>
      </c>
      <c r="F9" s="76" t="s">
        <v>313</v>
      </c>
      <c r="G9" s="35" t="s">
        <v>62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63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79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107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62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63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79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107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314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315</v>
      </c>
      <c r="D7" s="56" t="s">
        <v>316</v>
      </c>
      <c r="E7" s="28" t="s">
        <v>317</v>
      </c>
      <c r="F7" s="60" t="s">
        <v>318</v>
      </c>
      <c r="G7" s="32" t="s">
        <v>319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318</v>
      </c>
      <c r="G8" s="32" t="s">
        <v>64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318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320</v>
      </c>
      <c r="D12" s="30" t="s">
        <v>321</v>
      </c>
      <c r="E12" s="29" t="s">
        <v>322</v>
      </c>
      <c r="F12" s="31" t="s">
        <v>323</v>
      </c>
      <c r="G12" s="32" t="s">
        <v>71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63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324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325</v>
      </c>
      <c r="G15" s="32" t="s">
        <v>79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325</v>
      </c>
      <c r="G16" s="32" t="s">
        <v>326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327</v>
      </c>
      <c r="D17" s="66" t="s">
        <v>328</v>
      </c>
      <c r="E17" s="65" t="s">
        <v>329</v>
      </c>
      <c r="F17" s="67" t="s">
        <v>330</v>
      </c>
      <c r="G17" s="35" t="s">
        <v>71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63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79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64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313</v>
      </c>
      <c r="G22" s="35" t="s">
        <v>331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332</v>
      </c>
      <c r="D23" s="73" t="s">
        <v>333</v>
      </c>
      <c r="E23" s="29" t="s">
        <v>334</v>
      </c>
      <c r="F23" s="67" t="s">
        <v>335</v>
      </c>
      <c r="G23" s="35" t="s">
        <v>71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63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324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331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64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336</v>
      </c>
      <c r="E30" s="29" t="s">
        <v>337</v>
      </c>
      <c r="F30" s="67" t="s">
        <v>338</v>
      </c>
      <c r="G30" s="35" t="s">
        <v>62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63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79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64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304</v>
      </c>
      <c r="C35" s="29" t="s">
        <v>305</v>
      </c>
      <c r="D35" s="73" t="s">
        <v>306</v>
      </c>
      <c r="E35" s="29" t="s">
        <v>307</v>
      </c>
      <c r="F35" s="67" t="s">
        <v>308</v>
      </c>
      <c r="G35" s="35" t="s">
        <v>309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63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91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79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107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339</v>
      </c>
      <c r="E41" s="29" t="s">
        <v>340</v>
      </c>
      <c r="F41" s="67" t="s">
        <v>335</v>
      </c>
      <c r="G41" s="35" t="s">
        <v>341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63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342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79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64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343</v>
      </c>
      <c r="D47" s="73" t="s">
        <v>344</v>
      </c>
      <c r="E47" s="29" t="s">
        <v>345</v>
      </c>
      <c r="F47" s="67" t="s">
        <v>335</v>
      </c>
      <c r="G47" s="35" t="s">
        <v>71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63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91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79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64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346</v>
      </c>
      <c r="D53" s="73" t="s">
        <v>347</v>
      </c>
      <c r="E53" s="29" t="s">
        <v>348</v>
      </c>
      <c r="F53" s="67" t="s">
        <v>335</v>
      </c>
      <c r="G53" s="35" t="s">
        <v>71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63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79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331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64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349</v>
      </c>
      <c r="C59" s="29" t="s">
        <v>310</v>
      </c>
      <c r="D59" s="73" t="s">
        <v>311</v>
      </c>
      <c r="E59" s="29" t="s">
        <v>312</v>
      </c>
      <c r="F59" s="76" t="s">
        <v>313</v>
      </c>
      <c r="G59" s="35" t="s">
        <v>62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63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79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107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62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63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79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107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314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349</v>
      </c>
      <c r="C70" s="29" t="s">
        <v>350</v>
      </c>
      <c r="D70" s="73" t="s">
        <v>351</v>
      </c>
      <c r="E70" s="29" t="s">
        <v>352</v>
      </c>
      <c r="F70" s="67" t="s">
        <v>353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354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355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356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116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2024-5月-7月-已开票</vt:lpstr>
      <vt:lpstr>11月Adela-国内已部分开票</vt:lpstr>
      <vt:lpstr>12月Adela-国内 </vt:lpstr>
      <vt:lpstr>12月Adela-国内  (2)</vt:lpstr>
      <vt:lpstr>12月Adela-国内  3</vt:lpstr>
      <vt:lpstr>2026年1月Adela-人民币</vt:lpstr>
      <vt:lpstr>2026年1月Adela-孟加拉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2026-02-09T03:16:16Z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